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1.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2.xml" ContentType="application/vnd.openxmlformats-officedocument.drawing+xml"/>
  <Override PartName="/xl/charts/chart31.xml" ContentType="application/vnd.openxmlformats-officedocument.drawingml.chart+xml"/>
  <Override PartName="/xl/drawings/drawing13.xml" ContentType="application/vnd.openxmlformats-officedocument.drawing+xml"/>
  <Override PartName="/xl/charts/chart32.xml" ContentType="application/vnd.openxmlformats-officedocument.drawingml.chart+xml"/>
  <Override PartName="/xl/drawings/drawing14.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5.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6.xml" ContentType="application/vnd.openxmlformats-officedocument.drawing+xml"/>
  <Override PartName="/xl/charts/chart37.xml" ContentType="application/vnd.openxmlformats-officedocument.drawingml.chart+xml"/>
  <Override PartName="/xl/drawings/drawing17.xml" ContentType="application/vnd.openxmlformats-officedocument.drawing+xml"/>
  <Override PartName="/xl/charts/chart3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252" windowWidth="15072" windowHeight="8916" tabRatio="970"/>
  </bookViews>
  <sheets>
    <sheet name="VERSION " sheetId="19" r:id="rId1"/>
    <sheet name="GVA-productivity1" sheetId="5" r:id="rId2"/>
    <sheet name="Rel. prod. cf employment1" sheetId="1" r:id="rId3"/>
    <sheet name="Decomp. of prod change1" sheetId="2" r:id="rId4"/>
    <sheet name="Productivity gaps1" sheetId="3" r:id="rId5"/>
    <sheet name="GVA-productivity2" sheetId="9" r:id="rId6"/>
    <sheet name="Rel. prod. cf employment2" sheetId="10" r:id="rId7"/>
    <sheet name="Decomp.of prod change2" sheetId="11" r:id="rId8"/>
    <sheet name="Productivity gaps2" sheetId="12" r:id="rId9"/>
    <sheet name="GVA-productivity3" sheetId="14" r:id="rId10"/>
    <sheet name="Rel. prod. cf employ3" sheetId="15" r:id="rId11"/>
    <sheet name="Decomp of prod change3" sheetId="16" r:id="rId12"/>
    <sheet name="Productivity gaps3" sheetId="17" r:id="rId13"/>
    <sheet name="Sector emp1" sheetId="6" r:id="rId14"/>
    <sheet name="GVA-productivity4" sheetId="20" r:id="rId15"/>
    <sheet name="Rel. prod. cf employment4" sheetId="21" r:id="rId16"/>
    <sheet name="Decomp. of prod change4" sheetId="22" r:id="rId17"/>
    <sheet name="Productivity gaps4" sheetId="23" r:id="rId18"/>
    <sheet name="Sectoral employ by sex2" sheetId="24" r:id="rId19"/>
    <sheet name="Emp by sex (ILO)" sheetId="7" r:id="rId20"/>
    <sheet name="Agriculture (DHS)" sheetId="8" r:id="rId21"/>
    <sheet name="Wages (ILO)" sheetId="13" r:id="rId22"/>
  </sheets>
  <externalReferences>
    <externalReference r:id="rId23"/>
  </externalReferences>
  <definedNames>
    <definedName name="_xlnm._FilterDatabase" localSheetId="1" hidden="1">'GVA-productivity1'!$A$7:$AG$71</definedName>
    <definedName name="_xlnm._FilterDatabase" localSheetId="5" hidden="1">'GVA-productivity2'!$A$7:$AG$67</definedName>
    <definedName name="_xlnm._FilterDatabase" localSheetId="9" hidden="1">'GVA-productivity3'!$A$7:$Y$68</definedName>
    <definedName name="_xlnm._FilterDatabase" localSheetId="21" hidden="1">'Wages (ILO)'!$A$7:$O$7</definedName>
    <definedName name="Decomposition_of_labour_productivity_change" localSheetId="1">'GVA-productivity1'!#REF!</definedName>
    <definedName name="Decomposition_of_labour_productivity_change" localSheetId="5">'GVA-productivity2'!#REF!</definedName>
    <definedName name="Decomposition_of_labour_productivity_change" localSheetId="9">'GVA-productivity3'!#REF!</definedName>
    <definedName name="Labour_productivity" localSheetId="1">'GVA-productivity1'!$V$5</definedName>
    <definedName name="Labour_productivity" localSheetId="5">'GVA-productivity2'!$V$5</definedName>
    <definedName name="Labour_productivity" localSheetId="9">'GVA-productivity3'!$J$5</definedName>
    <definedName name="Labour_productivity_levels_and_change_over_time" localSheetId="1">'GVA-productivity1'!#REF!</definedName>
    <definedName name="Labour_productivity_levels_and_change_over_time" localSheetId="5">'GVA-productivity2'!#REF!</definedName>
    <definedName name="Labour_productivity_levels_and_change_over_time" localSheetId="9">'GVA-productivity3'!#REF!</definedName>
    <definedName name="Persons_engaged" localSheetId="1">'GVA-productivity1'!$P$5</definedName>
    <definedName name="Persons_engaged" localSheetId="5">'GVA-productivity2'!$P$5</definedName>
    <definedName name="Persons_engaged" localSheetId="9">'GVA-productivity3'!$H$5</definedName>
    <definedName name="Productivity_gaps" localSheetId="1">'GVA-productivity1'!#REF!</definedName>
    <definedName name="Productivity_gaps" localSheetId="5">'GVA-productivity2'!#REF!</definedName>
    <definedName name="Productivity_gaps" localSheetId="9">'GVA-productivity3'!#REF!</definedName>
    <definedName name="Relative_productivity_and_changes_in_employment" localSheetId="1">'GVA-productivity1'!#REF!</definedName>
    <definedName name="Relative_productivity_and_changes_in_employment" localSheetId="5">'GVA-productivity2'!#REF!</definedName>
    <definedName name="Relative_productivity_and_changes_in_employment" localSheetId="9">'GVA-productivity3'!#REF!</definedName>
    <definedName name="Relative_productivity_levels" localSheetId="1">'GVA-productivity1'!#REF!</definedName>
    <definedName name="Relative_productivity_levels" localSheetId="5">'GVA-productivity2'!#REF!</definedName>
    <definedName name="Relative_productivity_levels" localSheetId="9">'GVA-productivity3'!#REF!</definedName>
    <definedName name="VA_constant_2005" localSheetId="1">'GVA-productivity1'!$J$5</definedName>
    <definedName name="VA_constant_2005" localSheetId="5">'GVA-productivity2'!$J$5</definedName>
    <definedName name="VA_constant_2005" localSheetId="9">'GVA-productivity3'!$F$5</definedName>
    <definedName name="VA_current" localSheetId="1">'GVA-productivity1'!$D$5</definedName>
    <definedName name="VA_current" localSheetId="5">'GVA-productivity2'!$D$5</definedName>
    <definedName name="VA_current" localSheetId="9">'GVA-productivity3'!#REF!</definedName>
  </definedNames>
  <calcPr calcId="145621" calcOnSave="0"/>
</workbook>
</file>

<file path=xl/calcChain.xml><?xml version="1.0" encoding="utf-8"?>
<calcChain xmlns="http://schemas.openxmlformats.org/spreadsheetml/2006/main">
  <c r="C45" i="22" l="1"/>
  <c r="C25" i="22"/>
  <c r="D65" i="21"/>
  <c r="E64" i="21"/>
  <c r="D64" i="21"/>
  <c r="E63" i="21"/>
  <c r="D63" i="21"/>
  <c r="E62" i="21"/>
  <c r="D62" i="21"/>
  <c r="F61" i="21"/>
  <c r="E61" i="21"/>
  <c r="D61" i="21"/>
  <c r="E60" i="21"/>
  <c r="D60" i="21"/>
  <c r="F59" i="21"/>
  <c r="E59" i="21"/>
  <c r="D59" i="21"/>
  <c r="E58" i="21"/>
  <c r="D58" i="21"/>
  <c r="E47" i="21"/>
  <c r="D47" i="21"/>
  <c r="E46" i="21"/>
  <c r="D46" i="21"/>
  <c r="E45" i="21"/>
  <c r="D45" i="21"/>
  <c r="E44" i="21"/>
  <c r="D44" i="21"/>
  <c r="E43" i="21"/>
  <c r="D43" i="21"/>
  <c r="E42" i="21"/>
  <c r="D42" i="21"/>
  <c r="E41" i="21"/>
  <c r="E49" i="21" s="1"/>
  <c r="D41" i="21"/>
  <c r="D49" i="21" s="1"/>
  <c r="E30" i="21"/>
  <c r="D30" i="21"/>
  <c r="E29" i="21"/>
  <c r="D29" i="21"/>
  <c r="E28" i="21"/>
  <c r="D28" i="21"/>
  <c r="E27" i="21"/>
  <c r="D27" i="21"/>
  <c r="E26" i="21"/>
  <c r="D26" i="21"/>
  <c r="E25" i="21"/>
  <c r="D25" i="21"/>
  <c r="E24" i="21"/>
  <c r="D24" i="21"/>
  <c r="E14" i="21"/>
  <c r="E13" i="21"/>
  <c r="D13" i="21"/>
  <c r="G12" i="21"/>
  <c r="E12" i="21"/>
  <c r="D12" i="21"/>
  <c r="E11" i="21"/>
  <c r="D11" i="21"/>
  <c r="G10" i="21"/>
  <c r="E10" i="21"/>
  <c r="D10" i="21"/>
  <c r="E9" i="21"/>
  <c r="E15" i="21" s="1"/>
  <c r="D9" i="21"/>
  <c r="G8" i="21"/>
  <c r="E8" i="21"/>
  <c r="D8" i="21"/>
  <c r="E7" i="21"/>
  <c r="D7" i="21"/>
  <c r="I83" i="20"/>
  <c r="I84" i="20" s="1"/>
  <c r="I85" i="20" s="1"/>
  <c r="I86" i="20" s="1"/>
  <c r="I87" i="20" s="1"/>
  <c r="I88" i="20" s="1"/>
  <c r="I89" i="20" s="1"/>
  <c r="I90" i="20" s="1"/>
  <c r="I91" i="20" s="1"/>
  <c r="I92" i="20" s="1"/>
  <c r="I93" i="20" s="1"/>
  <c r="I94" i="20" s="1"/>
  <c r="I95" i="20" s="1"/>
  <c r="I96" i="20" s="1"/>
  <c r="I97" i="20" s="1"/>
  <c r="I98" i="20" s="1"/>
  <c r="I99" i="20" s="1"/>
  <c r="I100" i="20" s="1"/>
  <c r="I101" i="20" s="1"/>
  <c r="I81" i="20"/>
  <c r="I82" i="20" s="1"/>
  <c r="I80" i="20"/>
  <c r="I75" i="20"/>
  <c r="K74" i="20"/>
  <c r="B17" i="22" s="1"/>
  <c r="M73" i="20"/>
  <c r="B36" i="22" s="1"/>
  <c r="M72" i="20"/>
  <c r="B35" i="22" s="1"/>
  <c r="K72" i="20"/>
  <c r="B15" i="22" s="1"/>
  <c r="G72" i="20"/>
  <c r="E71" i="20"/>
  <c r="K70" i="20"/>
  <c r="B13" i="22" s="1"/>
  <c r="I70" i="20"/>
  <c r="G70" i="20"/>
  <c r="G63" i="20"/>
  <c r="N61" i="20"/>
  <c r="C47" i="21" s="1"/>
  <c r="I61" i="20"/>
  <c r="H61" i="20"/>
  <c r="G61" i="20"/>
  <c r="F61" i="20"/>
  <c r="E61" i="20"/>
  <c r="I60" i="20"/>
  <c r="H60" i="20"/>
  <c r="G60" i="20"/>
  <c r="F60" i="20"/>
  <c r="E60" i="20"/>
  <c r="I59" i="20"/>
  <c r="I73" i="20" s="1"/>
  <c r="H59" i="20"/>
  <c r="G59" i="20"/>
  <c r="F59" i="20"/>
  <c r="E59" i="20"/>
  <c r="E73" i="20" s="1"/>
  <c r="I58" i="20"/>
  <c r="I72" i="20" s="1"/>
  <c r="H58" i="20"/>
  <c r="H72" i="20" s="1"/>
  <c r="G58" i="20"/>
  <c r="F58" i="20"/>
  <c r="F72" i="20" s="1"/>
  <c r="E58" i="20"/>
  <c r="N57" i="20"/>
  <c r="C43" i="21" s="1"/>
  <c r="I57" i="20"/>
  <c r="H57" i="20"/>
  <c r="G57" i="20"/>
  <c r="F57" i="20"/>
  <c r="E57" i="20"/>
  <c r="I56" i="20"/>
  <c r="H56" i="20"/>
  <c r="H70" i="20" s="1"/>
  <c r="G56" i="20"/>
  <c r="M70" i="20" s="1"/>
  <c r="B33" i="22" s="1"/>
  <c r="F56" i="20"/>
  <c r="F70" i="20" s="1"/>
  <c r="E56" i="20"/>
  <c r="I55" i="20"/>
  <c r="H55" i="20"/>
  <c r="G55" i="20"/>
  <c r="F55" i="20"/>
  <c r="E55" i="20"/>
  <c r="E69" i="20" s="1"/>
  <c r="I50" i="20"/>
  <c r="H50" i="20"/>
  <c r="E48" i="21" s="1"/>
  <c r="G50" i="20"/>
  <c r="F50" i="20"/>
  <c r="D31" i="21" s="1"/>
  <c r="E50" i="20"/>
  <c r="K47" i="20" s="1"/>
  <c r="N48" i="20"/>
  <c r="L48" i="20"/>
  <c r="C28" i="22" s="1"/>
  <c r="O47" i="20"/>
  <c r="M47" i="20"/>
  <c r="L47" i="20"/>
  <c r="N46" i="20"/>
  <c r="L46" i="20"/>
  <c r="G11" i="21" s="1"/>
  <c r="O45" i="20"/>
  <c r="N45" i="20"/>
  <c r="M45" i="20"/>
  <c r="L45" i="20"/>
  <c r="K45" i="20"/>
  <c r="F10" i="21" s="1"/>
  <c r="N44" i="20"/>
  <c r="L44" i="20"/>
  <c r="O43" i="20"/>
  <c r="N43" i="20"/>
  <c r="M43" i="20"/>
  <c r="L43" i="20"/>
  <c r="K43" i="20"/>
  <c r="N42" i="20"/>
  <c r="L42" i="20"/>
  <c r="I37" i="20"/>
  <c r="I63" i="20" s="1"/>
  <c r="H37" i="20"/>
  <c r="H63" i="20" s="1"/>
  <c r="G37" i="20"/>
  <c r="M35" i="20" s="1"/>
  <c r="F37" i="20"/>
  <c r="F63" i="20" s="1"/>
  <c r="E37" i="20"/>
  <c r="D37" i="20"/>
  <c r="O35" i="20"/>
  <c r="N35" i="20"/>
  <c r="K35" i="20"/>
  <c r="J35" i="20"/>
  <c r="O34" i="20"/>
  <c r="N34" i="20"/>
  <c r="M34" i="20"/>
  <c r="L34" i="20"/>
  <c r="K34" i="20"/>
  <c r="J34" i="20"/>
  <c r="O33" i="20"/>
  <c r="N33" i="20"/>
  <c r="M33" i="20"/>
  <c r="L33" i="20"/>
  <c r="K33" i="20"/>
  <c r="J33" i="20"/>
  <c r="O32" i="20"/>
  <c r="N32" i="20"/>
  <c r="M32" i="20"/>
  <c r="L32" i="20"/>
  <c r="K32" i="20"/>
  <c r="J32" i="20"/>
  <c r="O31" i="20"/>
  <c r="N31" i="20"/>
  <c r="M31" i="20"/>
  <c r="L31" i="20"/>
  <c r="K31" i="20"/>
  <c r="J31" i="20"/>
  <c r="O30" i="20"/>
  <c r="N30" i="20"/>
  <c r="M30" i="20"/>
  <c r="L30" i="20"/>
  <c r="K30" i="20"/>
  <c r="J30" i="20"/>
  <c r="O29" i="20"/>
  <c r="N29" i="20"/>
  <c r="M29" i="20"/>
  <c r="L29" i="20"/>
  <c r="K29" i="20"/>
  <c r="J29" i="20"/>
  <c r="O28" i="20"/>
  <c r="O37" i="20" s="1"/>
  <c r="N28" i="20"/>
  <c r="N37" i="20" s="1"/>
  <c r="M28" i="20"/>
  <c r="M37" i="20" s="1"/>
  <c r="L28" i="20"/>
  <c r="L37" i="20" s="1"/>
  <c r="K28" i="20"/>
  <c r="K37" i="20" s="1"/>
  <c r="J28" i="20"/>
  <c r="J37" i="20" s="1"/>
  <c r="I23" i="20"/>
  <c r="H23" i="20"/>
  <c r="G23" i="20"/>
  <c r="M21" i="20" s="1"/>
  <c r="F23" i="20"/>
  <c r="L21" i="20" s="1"/>
  <c r="E23" i="20"/>
  <c r="D23" i="20"/>
  <c r="O21" i="20"/>
  <c r="N21" i="20"/>
  <c r="K21" i="20"/>
  <c r="J21" i="20"/>
  <c r="O20" i="20"/>
  <c r="N20" i="20"/>
  <c r="M20" i="20"/>
  <c r="L20" i="20"/>
  <c r="K20" i="20"/>
  <c r="J20" i="20"/>
  <c r="O19" i="20"/>
  <c r="N19" i="20"/>
  <c r="M19" i="20"/>
  <c r="L19" i="20"/>
  <c r="K19" i="20"/>
  <c r="J19" i="20"/>
  <c r="O18" i="20"/>
  <c r="N18" i="20"/>
  <c r="M18" i="20"/>
  <c r="L18" i="20"/>
  <c r="K18" i="20"/>
  <c r="J18" i="20"/>
  <c r="O17" i="20"/>
  <c r="N17" i="20"/>
  <c r="M17" i="20"/>
  <c r="L17" i="20"/>
  <c r="K17" i="20"/>
  <c r="J17" i="20"/>
  <c r="O16" i="20"/>
  <c r="N16" i="20"/>
  <c r="M16" i="20"/>
  <c r="L16" i="20"/>
  <c r="K16" i="20"/>
  <c r="J16" i="20"/>
  <c r="O15" i="20"/>
  <c r="N15" i="20"/>
  <c r="M15" i="20"/>
  <c r="L15" i="20"/>
  <c r="K15" i="20"/>
  <c r="J15" i="20"/>
  <c r="O14" i="20"/>
  <c r="O23" i="20" s="1"/>
  <c r="N14" i="20"/>
  <c r="N23" i="20" s="1"/>
  <c r="M14" i="20"/>
  <c r="M23" i="20" s="1"/>
  <c r="L14" i="20"/>
  <c r="L23" i="20" s="1"/>
  <c r="K14" i="20"/>
  <c r="K23" i="20" s="1"/>
  <c r="J14" i="20"/>
  <c r="J23" i="20" s="1"/>
  <c r="D32" i="21" l="1"/>
  <c r="D15" i="21"/>
  <c r="E66" i="21"/>
  <c r="N77" i="20"/>
  <c r="B49" i="22" s="1"/>
  <c r="O63" i="20"/>
  <c r="C65" i="21" s="1"/>
  <c r="F12" i="21"/>
  <c r="C17" i="22"/>
  <c r="C42" i="22"/>
  <c r="G41" i="21"/>
  <c r="D32" i="22"/>
  <c r="F58" i="21"/>
  <c r="C10" i="23"/>
  <c r="D45" i="22"/>
  <c r="E45" i="22" s="1"/>
  <c r="G61" i="21"/>
  <c r="B61" i="21" s="1"/>
  <c r="G47" i="21"/>
  <c r="C48" i="22"/>
  <c r="D38" i="22"/>
  <c r="F64" i="21"/>
  <c r="M77" i="20"/>
  <c r="B39" i="22" s="1"/>
  <c r="C24" i="22"/>
  <c r="F26" i="21"/>
  <c r="D14" i="22"/>
  <c r="D25" i="22"/>
  <c r="E25" i="22" s="1"/>
  <c r="G27" i="21"/>
  <c r="F44" i="21"/>
  <c r="C46" i="22"/>
  <c r="G45" i="21"/>
  <c r="D36" i="22"/>
  <c r="F62" i="21"/>
  <c r="C12" i="23"/>
  <c r="D47" i="22"/>
  <c r="G63" i="21"/>
  <c r="L50" i="20"/>
  <c r="L69" i="20"/>
  <c r="B22" i="22" s="1"/>
  <c r="F22" i="22" s="1"/>
  <c r="M55" i="20"/>
  <c r="C24" i="21" s="1"/>
  <c r="N55" i="20"/>
  <c r="C41" i="21" s="1"/>
  <c r="N71" i="20"/>
  <c r="B44" i="22" s="1"/>
  <c r="F44" i="22" s="1"/>
  <c r="J71" i="20"/>
  <c r="O57" i="20"/>
  <c r="L58" i="20"/>
  <c r="C10" i="21" s="1"/>
  <c r="L73" i="20"/>
  <c r="B26" i="22" s="1"/>
  <c r="F26" i="22" s="1"/>
  <c r="M59" i="20"/>
  <c r="C28" i="21" s="1"/>
  <c r="G73" i="20"/>
  <c r="N59" i="20"/>
  <c r="C45" i="21" s="1"/>
  <c r="N75" i="20"/>
  <c r="B48" i="22" s="1"/>
  <c r="J75" i="20"/>
  <c r="O61" i="20"/>
  <c r="M94" i="20"/>
  <c r="M95" i="20" s="1"/>
  <c r="M96" i="20" s="1"/>
  <c r="M97" i="20" s="1"/>
  <c r="M98" i="20" s="1"/>
  <c r="M78" i="20" s="1"/>
  <c r="L77" i="20"/>
  <c r="B29" i="22" s="1"/>
  <c r="M63" i="20"/>
  <c r="C31" i="21" s="1"/>
  <c r="M69" i="20"/>
  <c r="B32" i="22" s="1"/>
  <c r="I71" i="20"/>
  <c r="F17" i="22"/>
  <c r="B12" i="21"/>
  <c r="E32" i="21"/>
  <c r="F28" i="21"/>
  <c r="C15" i="22"/>
  <c r="C22" i="22"/>
  <c r="D12" i="22"/>
  <c r="F24" i="21"/>
  <c r="D23" i="22"/>
  <c r="C33" i="22"/>
  <c r="F33" i="22" s="1"/>
  <c r="F42" i="21"/>
  <c r="G25" i="21"/>
  <c r="G43" i="21"/>
  <c r="C44" i="22"/>
  <c r="D34" i="22"/>
  <c r="F60" i="21"/>
  <c r="E31" i="21"/>
  <c r="D48" i="21"/>
  <c r="M48" i="20"/>
  <c r="M44" i="20"/>
  <c r="M46" i="20"/>
  <c r="M42" i="20"/>
  <c r="H69" i="20"/>
  <c r="N70" i="20"/>
  <c r="B43" i="22" s="1"/>
  <c r="F43" i="22" s="1"/>
  <c r="J70" i="20"/>
  <c r="O56" i="20"/>
  <c r="F71" i="20"/>
  <c r="L57" i="20"/>
  <c r="C9" i="21" s="1"/>
  <c r="L72" i="20"/>
  <c r="B25" i="22" s="1"/>
  <c r="F25" i="22" s="1"/>
  <c r="M58" i="20"/>
  <c r="C27" i="21" s="1"/>
  <c r="N58" i="20"/>
  <c r="C44" i="21" s="1"/>
  <c r="E74" i="20"/>
  <c r="N74" i="20"/>
  <c r="B47" i="22" s="1"/>
  <c r="J74" i="20"/>
  <c r="I74" i="20"/>
  <c r="O60" i="20"/>
  <c r="L61" i="20"/>
  <c r="C13" i="21" s="1"/>
  <c r="G69" i="20"/>
  <c r="E70" i="20"/>
  <c r="K71" i="20"/>
  <c r="B14" i="22" s="1"/>
  <c r="E75" i="20"/>
  <c r="L89" i="20"/>
  <c r="L90" i="20" s="1"/>
  <c r="L91" i="20" s="1"/>
  <c r="L92" i="20" s="1"/>
  <c r="L93" i="20" s="1"/>
  <c r="L78" i="20" s="1"/>
  <c r="G7" i="21"/>
  <c r="F30" i="21"/>
  <c r="D66" i="21"/>
  <c r="D18" i="22"/>
  <c r="N69" i="20"/>
  <c r="B42" i="22" s="1"/>
  <c r="F42" i="22" s="1"/>
  <c r="J69" i="20"/>
  <c r="O55" i="20"/>
  <c r="L56" i="20"/>
  <c r="C8" i="21" s="1"/>
  <c r="L71" i="20"/>
  <c r="B24" i="22" s="1"/>
  <c r="F24" i="22" s="1"/>
  <c r="M57" i="20"/>
  <c r="C26" i="21" s="1"/>
  <c r="N73" i="20"/>
  <c r="B46" i="22" s="1"/>
  <c r="J73" i="20"/>
  <c r="O59" i="20"/>
  <c r="L60" i="20"/>
  <c r="C12" i="21" s="1"/>
  <c r="L75" i="20"/>
  <c r="B28" i="22" s="1"/>
  <c r="F28" i="22" s="1"/>
  <c r="G75" i="20"/>
  <c r="M61" i="20"/>
  <c r="C30" i="21" s="1"/>
  <c r="L63" i="20"/>
  <c r="C14" i="21" s="1"/>
  <c r="I69" i="20"/>
  <c r="M71" i="20"/>
  <c r="B34" i="22" s="1"/>
  <c r="F15" i="22"/>
  <c r="B10" i="21"/>
  <c r="C35" i="22"/>
  <c r="F35" i="22" s="1"/>
  <c r="C13" i="22"/>
  <c r="F13" i="22" s="1"/>
  <c r="F8" i="21"/>
  <c r="B8" i="21" s="1"/>
  <c r="C11" i="23"/>
  <c r="D43" i="22"/>
  <c r="E43" i="22" s="1"/>
  <c r="G59" i="21"/>
  <c r="B59" i="21" s="1"/>
  <c r="C26" i="22"/>
  <c r="D16" i="22"/>
  <c r="D27" i="22"/>
  <c r="G29" i="21"/>
  <c r="C37" i="22"/>
  <c r="F46" i="21"/>
  <c r="D14" i="21"/>
  <c r="K46" i="20"/>
  <c r="K42" i="20"/>
  <c r="K48" i="20"/>
  <c r="K44" i="20"/>
  <c r="E65" i="21"/>
  <c r="O46" i="20"/>
  <c r="O42" i="20"/>
  <c r="O48" i="20"/>
  <c r="O44" i="20"/>
  <c r="F69" i="20"/>
  <c r="L55" i="20"/>
  <c r="C7" i="21" s="1"/>
  <c r="L70" i="20"/>
  <c r="B23" i="22" s="1"/>
  <c r="F23" i="22" s="1"/>
  <c r="M56" i="20"/>
  <c r="C25" i="21" s="1"/>
  <c r="N56" i="20"/>
  <c r="C42" i="21" s="1"/>
  <c r="H71" i="20"/>
  <c r="N72" i="20"/>
  <c r="B45" i="22" s="1"/>
  <c r="F45" i="22" s="1"/>
  <c r="J72" i="20"/>
  <c r="O58" i="20"/>
  <c r="L59" i="20"/>
  <c r="C11" i="21" s="1"/>
  <c r="L74" i="20"/>
  <c r="B27" i="22" s="1"/>
  <c r="M60" i="20"/>
  <c r="C29" i="21" s="1"/>
  <c r="N60" i="20"/>
  <c r="C46" i="21" s="1"/>
  <c r="E63" i="20"/>
  <c r="J77" i="20" s="1"/>
  <c r="N63" i="20"/>
  <c r="C48" i="21" s="1"/>
  <c r="K69" i="20"/>
  <c r="B12" i="22" s="1"/>
  <c r="G71" i="20"/>
  <c r="E72" i="20"/>
  <c r="G74" i="20"/>
  <c r="M75" i="20"/>
  <c r="B38" i="22" s="1"/>
  <c r="G9" i="21"/>
  <c r="G13" i="21"/>
  <c r="D13" i="22"/>
  <c r="E13" i="22" s="1"/>
  <c r="C23" i="22"/>
  <c r="F25" i="21"/>
  <c r="D35" i="22"/>
  <c r="G44" i="21"/>
  <c r="B44" i="21" s="1"/>
  <c r="D17" i="22"/>
  <c r="E17" i="22" s="1"/>
  <c r="C27" i="22"/>
  <c r="F73" i="20"/>
  <c r="H74" i="20"/>
  <c r="F75" i="20"/>
  <c r="M74" i="20"/>
  <c r="B37" i="22" s="1"/>
  <c r="F37" i="22" s="1"/>
  <c r="K75" i="20"/>
  <c r="B18" i="22" s="1"/>
  <c r="L35" i="20"/>
  <c r="D33" i="22"/>
  <c r="G42" i="21"/>
  <c r="B42" i="21" s="1"/>
  <c r="C43" i="22"/>
  <c r="D15" i="22"/>
  <c r="E15" i="22" s="1"/>
  <c r="F27" i="21"/>
  <c r="N47" i="20"/>
  <c r="H73" i="20"/>
  <c r="F74" i="20"/>
  <c r="H75" i="20"/>
  <c r="K73" i="20"/>
  <c r="B16" i="22" s="1"/>
  <c r="F29" i="21"/>
  <c r="C14" i="22" l="1"/>
  <c r="E14" i="22" s="1"/>
  <c r="F9" i="21"/>
  <c r="B9" i="21" s="1"/>
  <c r="E27" i="22"/>
  <c r="G62" i="21"/>
  <c r="B62" i="21" s="1"/>
  <c r="D46" i="22"/>
  <c r="E46" i="22" s="1"/>
  <c r="C7" i="23"/>
  <c r="C12" i="22"/>
  <c r="F12" i="22" s="1"/>
  <c r="F7" i="21"/>
  <c r="K50" i="20"/>
  <c r="K59" i="20"/>
  <c r="D6" i="23"/>
  <c r="F6" i="23" s="1"/>
  <c r="C58" i="21"/>
  <c r="E18" i="22"/>
  <c r="K60" i="20"/>
  <c r="C32" i="22"/>
  <c r="E32" i="22" s="1"/>
  <c r="D22" i="22"/>
  <c r="E22" i="22" s="1"/>
  <c r="F41" i="21"/>
  <c r="G24" i="21"/>
  <c r="M50" i="20"/>
  <c r="C60" i="21"/>
  <c r="D9" i="23"/>
  <c r="F9" i="23" s="1"/>
  <c r="B27" i="21"/>
  <c r="H77" i="20"/>
  <c r="F77" i="20"/>
  <c r="F18" i="22"/>
  <c r="E35" i="22"/>
  <c r="F27" i="22"/>
  <c r="G60" i="21"/>
  <c r="B60" i="21" s="1"/>
  <c r="C9" i="23"/>
  <c r="D44" i="22"/>
  <c r="E44" i="22" s="1"/>
  <c r="C16" i="22"/>
  <c r="F16" i="22" s="1"/>
  <c r="F11" i="21"/>
  <c r="B11" i="21" s="1"/>
  <c r="B29" i="21"/>
  <c r="D7" i="23"/>
  <c r="F7" i="23" s="1"/>
  <c r="C62" i="21"/>
  <c r="K77" i="20"/>
  <c r="B19" i="22" s="1"/>
  <c r="K56" i="20"/>
  <c r="C36" i="22"/>
  <c r="F36" i="22" s="1"/>
  <c r="G28" i="21"/>
  <c r="B28" i="21" s="1"/>
  <c r="D26" i="22"/>
  <c r="E26" i="22" s="1"/>
  <c r="F45" i="21"/>
  <c r="B45" i="21" s="1"/>
  <c r="E23" i="22"/>
  <c r="F48" i="22"/>
  <c r="E47" i="22"/>
  <c r="N99" i="20"/>
  <c r="N100" i="20" s="1"/>
  <c r="N101" i="20" s="1"/>
  <c r="N78" i="20" s="1"/>
  <c r="D37" i="22"/>
  <c r="E37" i="22" s="1"/>
  <c r="G46" i="21"/>
  <c r="B46" i="21" s="1"/>
  <c r="C47" i="22"/>
  <c r="F63" i="21"/>
  <c r="B63" i="21" s="1"/>
  <c r="E77" i="20"/>
  <c r="K63" i="20"/>
  <c r="J80" i="20"/>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78" i="20" s="1"/>
  <c r="K58" i="20"/>
  <c r="C8" i="23"/>
  <c r="G64" i="21"/>
  <c r="B64" i="21" s="1"/>
  <c r="D48" i="22"/>
  <c r="E48" i="22" s="1"/>
  <c r="F47" i="22"/>
  <c r="C59" i="21"/>
  <c r="D11" i="23"/>
  <c r="F11" i="23" s="1"/>
  <c r="C34" i="22"/>
  <c r="F34" i="22" s="1"/>
  <c r="F43" i="21"/>
  <c r="B43" i="21" s="1"/>
  <c r="D24" i="22"/>
  <c r="E24" i="22" s="1"/>
  <c r="G26" i="21"/>
  <c r="B26" i="21" s="1"/>
  <c r="B25" i="21"/>
  <c r="F32" i="21"/>
  <c r="G77" i="20"/>
  <c r="F32" i="22"/>
  <c r="K61" i="20"/>
  <c r="F29" i="22"/>
  <c r="B6" i="22" s="1"/>
  <c r="G49" i="21"/>
  <c r="E33" i="22"/>
  <c r="F38" i="22"/>
  <c r="C61" i="21"/>
  <c r="D10" i="23"/>
  <c r="F10" i="23" s="1"/>
  <c r="G58" i="21"/>
  <c r="D42" i="22"/>
  <c r="E42" i="22" s="1"/>
  <c r="O50" i="20"/>
  <c r="C6" i="23"/>
  <c r="C18" i="22"/>
  <c r="F13" i="21"/>
  <c r="B13" i="21" s="1"/>
  <c r="E16" i="22"/>
  <c r="F46" i="22"/>
  <c r="F49" i="22" s="1"/>
  <c r="K55" i="20"/>
  <c r="B7" i="21"/>
  <c r="G15" i="21"/>
  <c r="F14" i="22"/>
  <c r="C63" i="21"/>
  <c r="D12" i="23"/>
  <c r="F12" i="23" s="1"/>
  <c r="N50" i="20"/>
  <c r="G30" i="21"/>
  <c r="B30" i="21" s="1"/>
  <c r="C38" i="22"/>
  <c r="E38" i="22" s="1"/>
  <c r="F47" i="21"/>
  <c r="B47" i="21" s="1"/>
  <c r="D28" i="22"/>
  <c r="E28" i="22" s="1"/>
  <c r="E34" i="22"/>
  <c r="C64" i="21"/>
  <c r="D8" i="23"/>
  <c r="F8" i="23" s="1"/>
  <c r="K57" i="20"/>
  <c r="D19" i="22"/>
  <c r="F31" i="21"/>
  <c r="G14" i="21"/>
  <c r="C29" i="22"/>
  <c r="I77" i="20"/>
  <c r="F66" i="21" l="1"/>
  <c r="B8" i="22"/>
  <c r="C8" i="22"/>
  <c r="F19" i="22"/>
  <c r="B5" i="22" s="1"/>
  <c r="M21" i="23"/>
  <c r="M19" i="23"/>
  <c r="M20" i="23"/>
  <c r="O27" i="23"/>
  <c r="O25" i="23"/>
  <c r="O26" i="23"/>
  <c r="C6" i="22"/>
  <c r="C5" i="22"/>
  <c r="L17" i="23"/>
  <c r="L18" i="23"/>
  <c r="L16" i="23"/>
  <c r="F49" i="21"/>
  <c r="F14" i="21"/>
  <c r="B14" i="21" s="1"/>
  <c r="C19" i="22"/>
  <c r="E19" i="22"/>
  <c r="E12" i="22"/>
  <c r="G66" i="21"/>
  <c r="B58" i="21"/>
  <c r="K80" i="20"/>
  <c r="K81" i="20" s="1"/>
  <c r="K82" i="20" s="1"/>
  <c r="K83" i="20" s="1"/>
  <c r="K84" i="20" s="1"/>
  <c r="K85" i="20" s="1"/>
  <c r="K86" i="20" s="1"/>
  <c r="K87" i="20" s="1"/>
  <c r="K88" i="20" s="1"/>
  <c r="K78" i="20" s="1"/>
  <c r="F15" i="21"/>
  <c r="C13" i="23"/>
  <c r="E6" i="23"/>
  <c r="F39" i="22"/>
  <c r="N23" i="23"/>
  <c r="N24" i="23"/>
  <c r="N22" i="23"/>
  <c r="J12" i="23"/>
  <c r="J10" i="23"/>
  <c r="J11" i="23"/>
  <c r="E36" i="22"/>
  <c r="D29" i="22"/>
  <c r="E29" i="22" s="1"/>
  <c r="G31" i="21"/>
  <c r="B31" i="21" s="1"/>
  <c r="C39" i="22"/>
  <c r="F48" i="21"/>
  <c r="I8" i="23"/>
  <c r="I9" i="23"/>
  <c r="I7" i="23"/>
  <c r="K15" i="23"/>
  <c r="K13" i="23"/>
  <c r="K14" i="23"/>
  <c r="D39" i="22"/>
  <c r="E39" i="22" s="1"/>
  <c r="G48" i="21"/>
  <c r="B48" i="21" s="1"/>
  <c r="F65" i="21"/>
  <c r="C49" i="22"/>
  <c r="D49" i="22"/>
  <c r="E49" i="22" s="1"/>
  <c r="G65" i="21"/>
  <c r="B41" i="21"/>
  <c r="G32" i="21"/>
  <c r="B24" i="21"/>
  <c r="B65" i="21" l="1"/>
  <c r="B7" i="22"/>
  <c r="C7" i="22"/>
  <c r="H10" i="23"/>
  <c r="H9" i="23"/>
  <c r="H8" i="23" s="1"/>
  <c r="E7" i="23"/>
  <c r="H11" i="23" l="1"/>
  <c r="H12" i="23"/>
  <c r="E8" i="23"/>
  <c r="H13" i="23"/>
  <c r="E9" i="23" l="1"/>
  <c r="H16" i="23"/>
  <c r="H15" i="23"/>
  <c r="H14" i="23" s="1"/>
  <c r="H17" i="23" l="1"/>
  <c r="E10" i="23"/>
  <c r="H18" i="23"/>
  <c r="H19" i="23"/>
  <c r="E11" i="23" l="1"/>
  <c r="H22" i="23"/>
  <c r="H21" i="23"/>
  <c r="H20" i="23" s="1"/>
  <c r="H23" i="23" l="1"/>
  <c r="E12" i="23"/>
  <c r="H24" i="23"/>
  <c r="H25" i="23"/>
  <c r="H28" i="23" l="1"/>
  <c r="H27" i="23"/>
  <c r="H26" i="23" s="1"/>
  <c r="C8" i="12" l="1"/>
  <c r="C13" i="12"/>
  <c r="C10" i="12"/>
  <c r="C12" i="12"/>
  <c r="C11" i="12"/>
  <c r="C9" i="12"/>
  <c r="C7" i="12"/>
  <c r="C6" i="12"/>
  <c r="E19" i="16"/>
  <c r="E17" i="16"/>
  <c r="E15" i="16"/>
  <c r="E13" i="16"/>
  <c r="E11" i="16"/>
  <c r="F14" i="15"/>
  <c r="E14" i="15"/>
  <c r="F13" i="15"/>
  <c r="E13" i="15"/>
  <c r="F16" i="15"/>
  <c r="E16" i="15"/>
  <c r="G16" i="15" s="1"/>
  <c r="F15" i="15"/>
  <c r="E15" i="15"/>
  <c r="F12" i="15"/>
  <c r="H12" i="15" s="1"/>
  <c r="E12" i="15"/>
  <c r="F11" i="15"/>
  <c r="E11" i="15"/>
  <c r="F10" i="15"/>
  <c r="E10" i="15"/>
  <c r="F9" i="15"/>
  <c r="E9" i="15"/>
  <c r="F8" i="15"/>
  <c r="E8" i="15"/>
  <c r="F7" i="15"/>
  <c r="E7" i="15"/>
  <c r="F6" i="15"/>
  <c r="E6" i="15"/>
  <c r="F66" i="14"/>
  <c r="C20" i="16" s="1"/>
  <c r="F54" i="14"/>
  <c r="C13" i="16" s="1"/>
  <c r="G12" i="15"/>
  <c r="G46" i="14"/>
  <c r="F46" i="14"/>
  <c r="E46" i="14"/>
  <c r="E10" i="16" s="1"/>
  <c r="D46" i="14"/>
  <c r="D10" i="16" s="1"/>
  <c r="G45" i="14"/>
  <c r="C6" i="17" s="1"/>
  <c r="F45" i="14"/>
  <c r="E45" i="14"/>
  <c r="E20" i="16" s="1"/>
  <c r="D45" i="14"/>
  <c r="D20" i="16" s="1"/>
  <c r="G44" i="14"/>
  <c r="C8" i="17" s="1"/>
  <c r="F44" i="14"/>
  <c r="E44" i="14"/>
  <c r="D44" i="14"/>
  <c r="D19" i="16" s="1"/>
  <c r="G42" i="14"/>
  <c r="C12" i="17" s="1"/>
  <c r="F42" i="14"/>
  <c r="E42" i="14"/>
  <c r="E18" i="16" s="1"/>
  <c r="D42" i="14"/>
  <c r="D18" i="16" s="1"/>
  <c r="G40" i="14"/>
  <c r="F40" i="14"/>
  <c r="E40" i="14"/>
  <c r="D40" i="14"/>
  <c r="D17" i="16" s="1"/>
  <c r="G39" i="14"/>
  <c r="F39" i="14"/>
  <c r="E39" i="14"/>
  <c r="E16" i="16" s="1"/>
  <c r="D39" i="14"/>
  <c r="D16" i="16" s="1"/>
  <c r="G35" i="14"/>
  <c r="F35" i="14"/>
  <c r="E35" i="14"/>
  <c r="D35" i="14"/>
  <c r="D15" i="16" s="1"/>
  <c r="G34" i="14"/>
  <c r="F34" i="14"/>
  <c r="E34" i="14"/>
  <c r="E14" i="16" s="1"/>
  <c r="D34" i="14"/>
  <c r="D14" i="16" s="1"/>
  <c r="G33" i="14"/>
  <c r="C9" i="17" s="1"/>
  <c r="F33" i="14"/>
  <c r="E33" i="14"/>
  <c r="D33" i="14"/>
  <c r="D13" i="16" s="1"/>
  <c r="G32" i="14"/>
  <c r="C13" i="17" s="1"/>
  <c r="F32" i="14"/>
  <c r="E32" i="14"/>
  <c r="E12" i="16" s="1"/>
  <c r="D32" i="14"/>
  <c r="D12" i="16" s="1"/>
  <c r="G30" i="14"/>
  <c r="C7" i="17" s="1"/>
  <c r="F30" i="14"/>
  <c r="E30" i="14"/>
  <c r="D30" i="14"/>
  <c r="D11" i="16" s="1"/>
  <c r="K24" i="14"/>
  <c r="F67" i="14" s="1"/>
  <c r="C10" i="16" s="1"/>
  <c r="J24" i="14"/>
  <c r="D67" i="14" s="1"/>
  <c r="K23" i="14"/>
  <c r="J23" i="14"/>
  <c r="K22" i="14"/>
  <c r="F65" i="14" s="1"/>
  <c r="C19" i="16" s="1"/>
  <c r="J22" i="14"/>
  <c r="D65" i="14" s="1"/>
  <c r="I21" i="14"/>
  <c r="G43" i="14" s="1"/>
  <c r="H21" i="14"/>
  <c r="F43" i="14" s="1"/>
  <c r="G21" i="14"/>
  <c r="F21" i="14"/>
  <c r="E21" i="14"/>
  <c r="E43" i="14" s="1"/>
  <c r="D21" i="14"/>
  <c r="D43" i="14" s="1"/>
  <c r="K20" i="14"/>
  <c r="F63" i="14" s="1"/>
  <c r="C18" i="16" s="1"/>
  <c r="J20" i="14"/>
  <c r="D63" i="14" s="1"/>
  <c r="I19" i="14"/>
  <c r="G41" i="14" s="1"/>
  <c r="C10" i="17" s="1"/>
  <c r="H19" i="14"/>
  <c r="H16" i="14" s="1"/>
  <c r="F38" i="14" s="1"/>
  <c r="G19" i="14"/>
  <c r="F19" i="14"/>
  <c r="F16" i="14" s="1"/>
  <c r="E19" i="14"/>
  <c r="E41" i="14" s="1"/>
  <c r="D19" i="14"/>
  <c r="D16" i="14" s="1"/>
  <c r="D38" i="14" s="1"/>
  <c r="K18" i="14"/>
  <c r="F61" i="14" s="1"/>
  <c r="C17" i="16" s="1"/>
  <c r="J18" i="14"/>
  <c r="D61" i="14" s="1"/>
  <c r="K17" i="14"/>
  <c r="F60" i="14" s="1"/>
  <c r="C16" i="16" s="1"/>
  <c r="J17" i="14"/>
  <c r="D60" i="14" s="1"/>
  <c r="I14" i="14"/>
  <c r="H14" i="14"/>
  <c r="H9" i="14" s="1"/>
  <c r="G14" i="14"/>
  <c r="G9" i="14" s="1"/>
  <c r="F14" i="14"/>
  <c r="E14" i="14"/>
  <c r="D14" i="14"/>
  <c r="D36" i="14" s="1"/>
  <c r="K13" i="14"/>
  <c r="F56" i="14" s="1"/>
  <c r="C15" i="16" s="1"/>
  <c r="J13" i="14"/>
  <c r="D56" i="14" s="1"/>
  <c r="K12" i="14"/>
  <c r="F55" i="14" s="1"/>
  <c r="C14" i="16" s="1"/>
  <c r="J12" i="14"/>
  <c r="D55" i="14" s="1"/>
  <c r="K11" i="14"/>
  <c r="J11" i="14"/>
  <c r="D54" i="14" s="1"/>
  <c r="K10" i="14"/>
  <c r="F53" i="14" s="1"/>
  <c r="C12" i="16" s="1"/>
  <c r="J10" i="14"/>
  <c r="D53" i="14" s="1"/>
  <c r="B9" i="14"/>
  <c r="B10" i="14" s="1"/>
  <c r="B11" i="14" s="1"/>
  <c r="B12" i="14" s="1"/>
  <c r="B13" i="14" s="1"/>
  <c r="B14" i="14" s="1"/>
  <c r="B15" i="14" s="1"/>
  <c r="B16" i="14" s="1"/>
  <c r="B17" i="14" s="1"/>
  <c r="B18" i="14" s="1"/>
  <c r="B19" i="14" s="1"/>
  <c r="B20" i="14" s="1"/>
  <c r="B21" i="14" s="1"/>
  <c r="B22" i="14" s="1"/>
  <c r="B23" i="14" s="1"/>
  <c r="K8" i="14"/>
  <c r="F51" i="14" s="1"/>
  <c r="J8" i="14"/>
  <c r="D51" i="14" s="1"/>
  <c r="F68" i="14" l="1"/>
  <c r="C11" i="16"/>
  <c r="C21" i="16" s="1"/>
  <c r="I32" i="14"/>
  <c r="H30" i="14"/>
  <c r="G14" i="15"/>
  <c r="E55" i="14"/>
  <c r="E53" i="14"/>
  <c r="E61" i="14"/>
  <c r="E51" i="14"/>
  <c r="E65" i="14"/>
  <c r="E67" i="14"/>
  <c r="E54" i="14"/>
  <c r="E56" i="14"/>
  <c r="E60" i="14"/>
  <c r="E66" i="14"/>
  <c r="E63" i="14"/>
  <c r="D66" i="14"/>
  <c r="G9" i="15"/>
  <c r="G11" i="15"/>
  <c r="J16" i="14"/>
  <c r="D59" i="14" s="1"/>
  <c r="H9" i="15"/>
  <c r="H11" i="15"/>
  <c r="H10" i="15"/>
  <c r="D15" i="14"/>
  <c r="D37" i="14" s="1"/>
  <c r="G6" i="15"/>
  <c r="G8" i="15"/>
  <c r="H6" i="15"/>
  <c r="F36" i="14"/>
  <c r="J14" i="14"/>
  <c r="D57" i="14" s="1"/>
  <c r="H15" i="14"/>
  <c r="F37" i="14" s="1"/>
  <c r="I16" i="14"/>
  <c r="G38" i="14" s="1"/>
  <c r="K19" i="14"/>
  <c r="J21" i="14"/>
  <c r="D64" i="14" s="1"/>
  <c r="H33" i="14"/>
  <c r="H35" i="14"/>
  <c r="D9" i="14"/>
  <c r="D31" i="14" s="1"/>
  <c r="E16" i="14"/>
  <c r="E38" i="14" s="1"/>
  <c r="K21" i="14"/>
  <c r="G10" i="15"/>
  <c r="G13" i="15"/>
  <c r="G15" i="15"/>
  <c r="C12" i="15"/>
  <c r="F9" i="14"/>
  <c r="J9" i="14" s="1"/>
  <c r="D52" i="14" s="1"/>
  <c r="G16" i="14"/>
  <c r="G7" i="15"/>
  <c r="H13" i="15"/>
  <c r="H15" i="15"/>
  <c r="F19" i="16"/>
  <c r="E17" i="15"/>
  <c r="H7" i="15"/>
  <c r="H14" i="15"/>
  <c r="H8" i="15"/>
  <c r="F15" i="16"/>
  <c r="D21" i="16"/>
  <c r="G18" i="16"/>
  <c r="G36" i="14"/>
  <c r="C11" i="17" s="1"/>
  <c r="I9" i="14"/>
  <c r="K9" i="14" s="1"/>
  <c r="F52" i="14" s="1"/>
  <c r="F31" i="14"/>
  <c r="H34" i="14"/>
  <c r="H40" i="14"/>
  <c r="H42" i="14"/>
  <c r="H44" i="14"/>
  <c r="F17" i="15"/>
  <c r="F15" i="14"/>
  <c r="I40" i="14"/>
  <c r="D12" i="15" s="1"/>
  <c r="I42" i="14"/>
  <c r="I44" i="14"/>
  <c r="H39" i="14"/>
  <c r="E36" i="14"/>
  <c r="E9" i="14"/>
  <c r="I30" i="14"/>
  <c r="J19" i="14"/>
  <c r="D62" i="14" s="1"/>
  <c r="H32" i="14"/>
  <c r="F41" i="14"/>
  <c r="H46" i="14"/>
  <c r="I34" i="14"/>
  <c r="D9" i="15" s="1"/>
  <c r="K14" i="14"/>
  <c r="F57" i="14" s="1"/>
  <c r="D41" i="14"/>
  <c r="H45" i="14"/>
  <c r="H16" i="15"/>
  <c r="C16" i="15" s="1"/>
  <c r="I33" i="14"/>
  <c r="I35" i="14"/>
  <c r="D10" i="15" s="1"/>
  <c r="F16" i="16"/>
  <c r="I39" i="14"/>
  <c r="D11" i="15" s="1"/>
  <c r="F20" i="16"/>
  <c r="I45" i="14"/>
  <c r="F13" i="16"/>
  <c r="F11" i="16"/>
  <c r="F12" i="16"/>
  <c r="F14" i="16"/>
  <c r="F18" i="16"/>
  <c r="I46" i="14"/>
  <c r="D16" i="15" s="1"/>
  <c r="F17" i="16"/>
  <c r="U30" i="9"/>
  <c r="P30" i="9"/>
  <c r="J30" i="9"/>
  <c r="E40" i="10"/>
  <c r="D40" i="10"/>
  <c r="E23" i="10"/>
  <c r="D23" i="10"/>
  <c r="E7" i="10"/>
  <c r="D7" i="10"/>
  <c r="O46" i="9"/>
  <c r="N46" i="9"/>
  <c r="M46" i="9"/>
  <c r="L46" i="9"/>
  <c r="K46" i="9"/>
  <c r="J46" i="9"/>
  <c r="O45" i="9"/>
  <c r="N45" i="9"/>
  <c r="M45" i="9"/>
  <c r="L45" i="9"/>
  <c r="K45" i="9"/>
  <c r="J45" i="9"/>
  <c r="O44" i="9"/>
  <c r="N44" i="9"/>
  <c r="M44" i="9"/>
  <c r="L44" i="9"/>
  <c r="K44" i="9"/>
  <c r="J44" i="9"/>
  <c r="O42" i="9"/>
  <c r="N42" i="9"/>
  <c r="M42" i="9"/>
  <c r="L42" i="9"/>
  <c r="K42" i="9"/>
  <c r="J42" i="9"/>
  <c r="O40" i="9"/>
  <c r="N40" i="9"/>
  <c r="M40" i="9"/>
  <c r="L40" i="9"/>
  <c r="K40" i="9"/>
  <c r="J40" i="9"/>
  <c r="O39" i="9"/>
  <c r="N39" i="9"/>
  <c r="M39" i="9"/>
  <c r="L39" i="9"/>
  <c r="K39" i="9"/>
  <c r="J39" i="9"/>
  <c r="O35" i="9"/>
  <c r="N35" i="9"/>
  <c r="M35" i="9"/>
  <c r="L35" i="9"/>
  <c r="K35" i="9"/>
  <c r="J35" i="9"/>
  <c r="O34" i="9"/>
  <c r="N34" i="9"/>
  <c r="M34" i="9"/>
  <c r="L34" i="9"/>
  <c r="K34" i="9"/>
  <c r="J34" i="9"/>
  <c r="O33" i="9"/>
  <c r="N33" i="9"/>
  <c r="M33" i="9"/>
  <c r="L33" i="9"/>
  <c r="K33" i="9"/>
  <c r="J33" i="9"/>
  <c r="O32" i="9"/>
  <c r="N32" i="9"/>
  <c r="M32" i="9"/>
  <c r="L32" i="9"/>
  <c r="K32" i="9"/>
  <c r="J32" i="9"/>
  <c r="O30" i="9"/>
  <c r="N30" i="9"/>
  <c r="M30" i="9"/>
  <c r="L30" i="9"/>
  <c r="K30" i="9"/>
  <c r="D8" i="15" l="1"/>
  <c r="D9" i="17"/>
  <c r="F9" i="17" s="1"/>
  <c r="F62" i="14"/>
  <c r="I48" i="14"/>
  <c r="I47" i="14"/>
  <c r="D6" i="15"/>
  <c r="D7" i="17"/>
  <c r="F7" i="17" s="1"/>
  <c r="D8" i="17"/>
  <c r="D14" i="15"/>
  <c r="D7" i="15"/>
  <c r="D13" i="17"/>
  <c r="D15" i="15"/>
  <c r="D6" i="17"/>
  <c r="D12" i="17"/>
  <c r="F12" i="17" s="1"/>
  <c r="D13" i="15"/>
  <c r="F64" i="14"/>
  <c r="C14" i="15"/>
  <c r="G17" i="15"/>
  <c r="H17" i="15"/>
  <c r="E52" i="14"/>
  <c r="H38" i="14"/>
  <c r="H43" i="14"/>
  <c r="H36" i="14"/>
  <c r="C11" i="15"/>
  <c r="C9" i="15"/>
  <c r="C10" i="15"/>
  <c r="I41" i="14"/>
  <c r="E62" i="14"/>
  <c r="E57" i="14"/>
  <c r="E64" i="14"/>
  <c r="C15" i="15"/>
  <c r="C6" i="15"/>
  <c r="C13" i="15"/>
  <c r="C8" i="15"/>
  <c r="J15" i="14"/>
  <c r="D58" i="14" s="1"/>
  <c r="H25" i="14"/>
  <c r="H26" i="14" s="1"/>
  <c r="I15" i="14"/>
  <c r="G37" i="14" s="1"/>
  <c r="E15" i="14"/>
  <c r="E37" i="14" s="1"/>
  <c r="D25" i="14"/>
  <c r="D26" i="14" s="1"/>
  <c r="I43" i="14"/>
  <c r="C7" i="15"/>
  <c r="G15" i="14"/>
  <c r="G25" i="14" s="1"/>
  <c r="G26" i="14" s="1"/>
  <c r="K16" i="14"/>
  <c r="C14" i="17"/>
  <c r="E6" i="17"/>
  <c r="I31" i="14"/>
  <c r="E25" i="14"/>
  <c r="E26" i="14" s="1"/>
  <c r="E31" i="14"/>
  <c r="G11" i="16"/>
  <c r="G13" i="16"/>
  <c r="H31" i="14"/>
  <c r="E21" i="16"/>
  <c r="F8" i="17"/>
  <c r="G12" i="16"/>
  <c r="G19" i="16"/>
  <c r="G16" i="16"/>
  <c r="H41" i="14"/>
  <c r="G14" i="16"/>
  <c r="F25" i="14"/>
  <c r="F26" i="14" s="1"/>
  <c r="G15" i="16"/>
  <c r="G17" i="16"/>
  <c r="I36" i="14"/>
  <c r="F13" i="17"/>
  <c r="G20" i="16"/>
  <c r="G31" i="14"/>
  <c r="D17" i="15" l="1"/>
  <c r="E59" i="14"/>
  <c r="F59" i="14"/>
  <c r="D10" i="17"/>
  <c r="F10" i="17" s="1"/>
  <c r="D11" i="17"/>
  <c r="F11" i="17" s="1"/>
  <c r="O26" i="17"/>
  <c r="O27" i="17"/>
  <c r="O25" i="17"/>
  <c r="H9" i="17"/>
  <c r="H8" i="17" s="1"/>
  <c r="H10" i="17"/>
  <c r="K15" i="17"/>
  <c r="K13" i="17"/>
  <c r="K14" i="17"/>
  <c r="P28" i="17"/>
  <c r="P30" i="17"/>
  <c r="P29" i="17"/>
  <c r="L17" i="17"/>
  <c r="L16" i="17"/>
  <c r="L18" i="17"/>
  <c r="J11" i="17"/>
  <c r="J10" i="17"/>
  <c r="J12" i="17"/>
  <c r="C17" i="15"/>
  <c r="I25" i="14"/>
  <c r="I26" i="14" s="1"/>
  <c r="H37" i="14"/>
  <c r="K15" i="14"/>
  <c r="F58" i="14" s="1"/>
  <c r="I38" i="14"/>
  <c r="F6" i="17"/>
  <c r="G21" i="16"/>
  <c r="G4" i="16" s="1"/>
  <c r="H4" i="16" s="1"/>
  <c r="L9" i="13"/>
  <c r="M9" i="13"/>
  <c r="N9" i="13"/>
  <c r="O9" i="13"/>
  <c r="L10" i="13"/>
  <c r="M10" i="13"/>
  <c r="N10" i="13"/>
  <c r="L11" i="13"/>
  <c r="M11" i="13"/>
  <c r="N11" i="13"/>
  <c r="M12" i="13"/>
  <c r="N12" i="13"/>
  <c r="O12" i="13"/>
  <c r="E49" i="10"/>
  <c r="D49" i="10"/>
  <c r="E48" i="10"/>
  <c r="D48" i="10"/>
  <c r="E47" i="10"/>
  <c r="D47" i="10"/>
  <c r="F47" i="10" s="1"/>
  <c r="E46" i="10"/>
  <c r="D46" i="10"/>
  <c r="E45" i="10"/>
  <c r="D45" i="10"/>
  <c r="F45" i="10" s="1"/>
  <c r="E44" i="10"/>
  <c r="D44" i="10"/>
  <c r="E43" i="10"/>
  <c r="G43" i="10" s="1"/>
  <c r="D43" i="10"/>
  <c r="E42" i="10"/>
  <c r="D42" i="10"/>
  <c r="E41" i="10"/>
  <c r="D41" i="10"/>
  <c r="E39" i="10"/>
  <c r="D39" i="10"/>
  <c r="E32" i="10"/>
  <c r="D32" i="10"/>
  <c r="E31" i="10"/>
  <c r="D31" i="10"/>
  <c r="E30" i="10"/>
  <c r="D30" i="10"/>
  <c r="F30" i="10" s="1"/>
  <c r="E29" i="10"/>
  <c r="D29" i="10"/>
  <c r="E28" i="10"/>
  <c r="D28" i="10"/>
  <c r="E27" i="10"/>
  <c r="D27" i="10"/>
  <c r="E26" i="10"/>
  <c r="D26" i="10"/>
  <c r="F26" i="10" s="1"/>
  <c r="E25" i="10"/>
  <c r="D25" i="10"/>
  <c r="E24" i="10"/>
  <c r="D24" i="10"/>
  <c r="F24" i="10" s="1"/>
  <c r="E22" i="10"/>
  <c r="D22" i="10"/>
  <c r="E16" i="10"/>
  <c r="D16" i="10"/>
  <c r="E15" i="10"/>
  <c r="D15" i="10"/>
  <c r="E14" i="10"/>
  <c r="G14" i="10" s="1"/>
  <c r="D14" i="10"/>
  <c r="E13" i="10"/>
  <c r="D13" i="10"/>
  <c r="E12" i="10"/>
  <c r="G12" i="10" s="1"/>
  <c r="D12" i="10"/>
  <c r="E11" i="10"/>
  <c r="D11" i="10"/>
  <c r="E10" i="10"/>
  <c r="D10" i="10"/>
  <c r="E9" i="10"/>
  <c r="D9" i="10"/>
  <c r="E8" i="10"/>
  <c r="G8" i="10" s="1"/>
  <c r="D8" i="10"/>
  <c r="F8" i="10" s="1"/>
  <c r="E6" i="10"/>
  <c r="D6" i="10"/>
  <c r="D38" i="11"/>
  <c r="C24" i="11"/>
  <c r="C10" i="11"/>
  <c r="I46" i="9"/>
  <c r="H46" i="9"/>
  <c r="G46" i="9"/>
  <c r="F46" i="9"/>
  <c r="E46" i="9"/>
  <c r="D46" i="9"/>
  <c r="D20" i="11"/>
  <c r="C20" i="11"/>
  <c r="I45" i="9"/>
  <c r="H45" i="9"/>
  <c r="G45" i="9"/>
  <c r="F45" i="9"/>
  <c r="E45" i="9"/>
  <c r="D45" i="9"/>
  <c r="C19" i="11"/>
  <c r="I44" i="9"/>
  <c r="H44" i="9"/>
  <c r="G44" i="9"/>
  <c r="F44" i="9"/>
  <c r="E44" i="9"/>
  <c r="D44" i="9"/>
  <c r="D18" i="11"/>
  <c r="C18" i="11"/>
  <c r="I42" i="9"/>
  <c r="H42" i="9"/>
  <c r="G42" i="9"/>
  <c r="F42" i="9"/>
  <c r="E42" i="9"/>
  <c r="D42" i="9"/>
  <c r="D45" i="11"/>
  <c r="C17" i="11"/>
  <c r="I40" i="9"/>
  <c r="H40" i="9"/>
  <c r="G40" i="9"/>
  <c r="F40" i="9"/>
  <c r="E40" i="9"/>
  <c r="D40" i="9"/>
  <c r="D44" i="11"/>
  <c r="D16" i="11"/>
  <c r="C16" i="11"/>
  <c r="I39" i="9"/>
  <c r="H39" i="9"/>
  <c r="G39" i="9"/>
  <c r="F39" i="9"/>
  <c r="E39" i="9"/>
  <c r="D39" i="9"/>
  <c r="D43" i="11"/>
  <c r="C15" i="11"/>
  <c r="I35" i="9"/>
  <c r="H35" i="9"/>
  <c r="G35" i="9"/>
  <c r="F35" i="9"/>
  <c r="E35" i="9"/>
  <c r="D35" i="9"/>
  <c r="D42" i="11"/>
  <c r="D14" i="11"/>
  <c r="C14" i="11"/>
  <c r="I34" i="9"/>
  <c r="H34" i="9"/>
  <c r="G34" i="9"/>
  <c r="F34" i="9"/>
  <c r="E34" i="9"/>
  <c r="D34" i="9"/>
  <c r="C13" i="11"/>
  <c r="I33" i="9"/>
  <c r="H33" i="9"/>
  <c r="G33" i="9"/>
  <c r="F33" i="9"/>
  <c r="E33" i="9"/>
  <c r="D33" i="9"/>
  <c r="D12" i="11"/>
  <c r="C12" i="11"/>
  <c r="I32" i="9"/>
  <c r="H32" i="9"/>
  <c r="G32" i="9"/>
  <c r="F32" i="9"/>
  <c r="E32" i="9"/>
  <c r="D32" i="9"/>
  <c r="C11" i="11"/>
  <c r="I30" i="9"/>
  <c r="H30" i="9"/>
  <c r="G30" i="9"/>
  <c r="F30" i="9"/>
  <c r="E30" i="9"/>
  <c r="D30" i="9"/>
  <c r="AA24" i="9"/>
  <c r="U46" i="9" s="1"/>
  <c r="Z24" i="9"/>
  <c r="Y24" i="9"/>
  <c r="X24" i="9"/>
  <c r="W24" i="9"/>
  <c r="Q46" i="9" s="1"/>
  <c r="V24" i="9"/>
  <c r="AA23" i="9"/>
  <c r="Z23" i="9"/>
  <c r="Y23" i="9"/>
  <c r="X23" i="9"/>
  <c r="W23" i="9"/>
  <c r="V23" i="9"/>
  <c r="D66" i="9" s="1"/>
  <c r="AA22" i="9"/>
  <c r="Z22" i="9"/>
  <c r="Y22" i="9"/>
  <c r="X22" i="9"/>
  <c r="W22" i="9"/>
  <c r="Q44" i="9" s="1"/>
  <c r="V22" i="9"/>
  <c r="D65" i="9" s="1"/>
  <c r="U21" i="9"/>
  <c r="O43" i="9" s="1"/>
  <c r="T21" i="9"/>
  <c r="N43" i="9" s="1"/>
  <c r="S21" i="9"/>
  <c r="M43" i="9" s="1"/>
  <c r="R21" i="9"/>
  <c r="L43" i="9" s="1"/>
  <c r="Q21" i="9"/>
  <c r="K43" i="9" s="1"/>
  <c r="P21" i="9"/>
  <c r="J43" i="9" s="1"/>
  <c r="O21" i="9"/>
  <c r="N21" i="9"/>
  <c r="M21" i="9"/>
  <c r="L21" i="9"/>
  <c r="K21" i="9"/>
  <c r="J21" i="9"/>
  <c r="I21" i="9"/>
  <c r="I43" i="9" s="1"/>
  <c r="H21" i="9"/>
  <c r="H43" i="9" s="1"/>
  <c r="G21" i="9"/>
  <c r="G43" i="9" s="1"/>
  <c r="F21" i="9"/>
  <c r="F43" i="9" s="1"/>
  <c r="E21" i="9"/>
  <c r="E43" i="9" s="1"/>
  <c r="D21" i="9"/>
  <c r="AA20" i="9"/>
  <c r="Z20" i="9"/>
  <c r="Y20" i="9"/>
  <c r="X20" i="9"/>
  <c r="W20" i="9"/>
  <c r="V20" i="9"/>
  <c r="D63" i="9" s="1"/>
  <c r="U19" i="9"/>
  <c r="T19" i="9"/>
  <c r="S19" i="9"/>
  <c r="M41" i="9" s="1"/>
  <c r="R19" i="9"/>
  <c r="Q19" i="9"/>
  <c r="P19" i="9"/>
  <c r="O19" i="9"/>
  <c r="O16" i="9" s="1"/>
  <c r="N19" i="9"/>
  <c r="N16" i="9" s="1"/>
  <c r="N15" i="9" s="1"/>
  <c r="M19" i="9"/>
  <c r="L19" i="9"/>
  <c r="L16" i="9" s="1"/>
  <c r="K19" i="9"/>
  <c r="J19" i="9"/>
  <c r="J16" i="9" s="1"/>
  <c r="I19" i="9"/>
  <c r="I41" i="9" s="1"/>
  <c r="H19" i="9"/>
  <c r="H16" i="9" s="1"/>
  <c r="H38" i="9" s="1"/>
  <c r="G19" i="9"/>
  <c r="G41" i="9" s="1"/>
  <c r="F19" i="9"/>
  <c r="F16" i="9" s="1"/>
  <c r="F38" i="9" s="1"/>
  <c r="E19" i="9"/>
  <c r="E41" i="9" s="1"/>
  <c r="D19" i="9"/>
  <c r="D16" i="9" s="1"/>
  <c r="D38" i="9" s="1"/>
  <c r="AA18" i="9"/>
  <c r="Z18" i="9"/>
  <c r="Y18" i="9"/>
  <c r="X18" i="9"/>
  <c r="W18" i="9"/>
  <c r="V18" i="9"/>
  <c r="D61" i="9" s="1"/>
  <c r="AA17" i="9"/>
  <c r="Z17" i="9"/>
  <c r="Y17" i="9"/>
  <c r="X17" i="9"/>
  <c r="W17" i="9"/>
  <c r="V17" i="9"/>
  <c r="S16" i="9"/>
  <c r="K16" i="9"/>
  <c r="U14" i="9"/>
  <c r="T14" i="9"/>
  <c r="S14" i="9"/>
  <c r="R14" i="9"/>
  <c r="Q14" i="9"/>
  <c r="P14" i="9"/>
  <c r="O14" i="9"/>
  <c r="N14" i="9"/>
  <c r="N9" i="9" s="1"/>
  <c r="M14" i="9"/>
  <c r="L14" i="9"/>
  <c r="L9" i="9" s="1"/>
  <c r="K14" i="9"/>
  <c r="J14" i="9"/>
  <c r="I14" i="9"/>
  <c r="H14" i="9"/>
  <c r="H36" i="9" s="1"/>
  <c r="G14" i="9"/>
  <c r="F14" i="9"/>
  <c r="F36" i="9" s="1"/>
  <c r="E14" i="9"/>
  <c r="D14" i="9"/>
  <c r="D36" i="9" s="1"/>
  <c r="AA13" i="9"/>
  <c r="Z13" i="9"/>
  <c r="Y13" i="9"/>
  <c r="X13" i="9"/>
  <c r="W13" i="9"/>
  <c r="V13" i="9"/>
  <c r="AA12" i="9"/>
  <c r="Z12" i="9"/>
  <c r="Y12" i="9"/>
  <c r="X12" i="9"/>
  <c r="W12" i="9"/>
  <c r="V12" i="9"/>
  <c r="D55" i="9" s="1"/>
  <c r="AA11" i="9"/>
  <c r="Z11" i="9"/>
  <c r="Y11" i="9"/>
  <c r="X11" i="9"/>
  <c r="W11" i="9"/>
  <c r="V11" i="9"/>
  <c r="D54" i="9" s="1"/>
  <c r="AA10" i="9"/>
  <c r="Z10" i="9"/>
  <c r="Y10" i="9"/>
  <c r="X10" i="9"/>
  <c r="W10" i="9"/>
  <c r="V10" i="9"/>
  <c r="D53" i="9" s="1"/>
  <c r="B9" i="9"/>
  <c r="B10" i="9" s="1"/>
  <c r="B11" i="9" s="1"/>
  <c r="B12" i="9" s="1"/>
  <c r="B13" i="9" s="1"/>
  <c r="B14" i="9" s="1"/>
  <c r="B15" i="9" s="1"/>
  <c r="B16" i="9" s="1"/>
  <c r="B17" i="9" s="1"/>
  <c r="B18" i="9" s="1"/>
  <c r="B19" i="9" s="1"/>
  <c r="B20" i="9" s="1"/>
  <c r="B21" i="9" s="1"/>
  <c r="B22" i="9" s="1"/>
  <c r="B23" i="9" s="1"/>
  <c r="AA8" i="9"/>
  <c r="Z8" i="9"/>
  <c r="Y8" i="9"/>
  <c r="X8" i="9"/>
  <c r="W8" i="9"/>
  <c r="V8" i="9"/>
  <c r="D51" i="9" s="1"/>
  <c r="N23" i="17" l="1"/>
  <c r="N22" i="17"/>
  <c r="N24" i="17"/>
  <c r="D14" i="17"/>
  <c r="M21" i="17"/>
  <c r="M20" i="17"/>
  <c r="M19" i="17"/>
  <c r="I8" i="17"/>
  <c r="I9" i="17"/>
  <c r="I7" i="17"/>
  <c r="E58" i="14"/>
  <c r="I37" i="14"/>
  <c r="Q9" i="9"/>
  <c r="K31" i="9" s="1"/>
  <c r="K36" i="9"/>
  <c r="U16" i="9"/>
  <c r="O41" i="9"/>
  <c r="R16" i="9"/>
  <c r="L41" i="9"/>
  <c r="H65" i="9"/>
  <c r="F49" i="10"/>
  <c r="F40" i="10"/>
  <c r="F9" i="9"/>
  <c r="F31" i="9" s="1"/>
  <c r="S9" i="9"/>
  <c r="M31" i="9" s="1"/>
  <c r="M36" i="9"/>
  <c r="S15" i="9"/>
  <c r="M37" i="9" s="1"/>
  <c r="M38" i="9"/>
  <c r="G49" i="10"/>
  <c r="G40" i="10"/>
  <c r="U9" i="9"/>
  <c r="O31" i="9" s="1"/>
  <c r="O36" i="9"/>
  <c r="Q16" i="9"/>
  <c r="K41" i="9"/>
  <c r="R9" i="9"/>
  <c r="L31" i="9" s="1"/>
  <c r="L36" i="9"/>
  <c r="P9" i="9"/>
  <c r="J31" i="9" s="1"/>
  <c r="J36" i="9"/>
  <c r="T9" i="9"/>
  <c r="N31" i="9" s="1"/>
  <c r="N36" i="9"/>
  <c r="P16" i="9"/>
  <c r="J38" i="9" s="1"/>
  <c r="J41" i="9"/>
  <c r="T16" i="9"/>
  <c r="N38" i="9" s="1"/>
  <c r="N41" i="9"/>
  <c r="F32" i="10"/>
  <c r="F23" i="10"/>
  <c r="G32" i="10"/>
  <c r="G23" i="10"/>
  <c r="F16" i="10"/>
  <c r="F7" i="10"/>
  <c r="G16" i="10"/>
  <c r="G7" i="10"/>
  <c r="T35" i="9"/>
  <c r="C26" i="10" s="1"/>
  <c r="G16" i="9"/>
  <c r="G15" i="9" s="1"/>
  <c r="G37" i="9" s="1"/>
  <c r="G25" i="10"/>
  <c r="G42" i="10"/>
  <c r="G44" i="10"/>
  <c r="J56" i="9"/>
  <c r="L60" i="9"/>
  <c r="B30" i="11" s="1"/>
  <c r="F63" i="9"/>
  <c r="F65" i="9"/>
  <c r="G9" i="10"/>
  <c r="G11" i="10"/>
  <c r="G41" i="10"/>
  <c r="F43" i="10"/>
  <c r="B43" i="10" s="1"/>
  <c r="G46" i="10"/>
  <c r="D9" i="9"/>
  <c r="D31" i="9" s="1"/>
  <c r="F15" i="9"/>
  <c r="F37" i="9" s="1"/>
  <c r="F6" i="10"/>
  <c r="B8" i="10"/>
  <c r="H53" i="9"/>
  <c r="D15" i="9"/>
  <c r="D37" i="9" s="1"/>
  <c r="L15" i="9"/>
  <c r="L25" i="9" s="1"/>
  <c r="L26" i="9" s="1"/>
  <c r="H51" i="9"/>
  <c r="I55" i="9"/>
  <c r="L53" i="9"/>
  <c r="B26" i="11" s="1"/>
  <c r="F13" i="10"/>
  <c r="G29" i="10"/>
  <c r="D50" i="10"/>
  <c r="H9" i="9"/>
  <c r="H31" i="9" s="1"/>
  <c r="F53" i="9"/>
  <c r="F55" i="9"/>
  <c r="V14" i="9"/>
  <c r="D57" i="9" s="1"/>
  <c r="Z14" i="9"/>
  <c r="T36" i="9" s="1"/>
  <c r="F60" i="9"/>
  <c r="H61" i="9"/>
  <c r="Z16" i="9"/>
  <c r="L59" i="9" s="1"/>
  <c r="F10" i="10"/>
  <c r="F12" i="10"/>
  <c r="B12" i="10" s="1"/>
  <c r="G13" i="10"/>
  <c r="F15" i="10"/>
  <c r="F28" i="10"/>
  <c r="R40" i="9"/>
  <c r="K56" i="9"/>
  <c r="B15" i="11" s="1"/>
  <c r="F15" i="11" s="1"/>
  <c r="F51" i="9"/>
  <c r="AA14" i="9"/>
  <c r="S45" i="9"/>
  <c r="C15" i="10" s="1"/>
  <c r="R46" i="9"/>
  <c r="G10" i="10"/>
  <c r="G15" i="10"/>
  <c r="F41" i="10"/>
  <c r="C26" i="11"/>
  <c r="Q33" i="9"/>
  <c r="H15" i="9"/>
  <c r="H37" i="9" s="1"/>
  <c r="E16" i="9"/>
  <c r="E38" i="9" s="1"/>
  <c r="X19" i="9"/>
  <c r="R41" i="9" s="1"/>
  <c r="L66" i="9"/>
  <c r="B34" i="11" s="1"/>
  <c r="R30" i="9"/>
  <c r="R32" i="9"/>
  <c r="R42" i="9"/>
  <c r="H66" i="9"/>
  <c r="G24" i="10"/>
  <c r="B24" i="10" s="1"/>
  <c r="F27" i="10"/>
  <c r="G28" i="10"/>
  <c r="F31" i="10"/>
  <c r="E50" i="10"/>
  <c r="J9" i="9"/>
  <c r="F54" i="9"/>
  <c r="L55" i="9"/>
  <c r="B28" i="11" s="1"/>
  <c r="J15" i="9"/>
  <c r="Q40" i="9"/>
  <c r="M61" i="9"/>
  <c r="B45" i="11" s="1"/>
  <c r="W19" i="9"/>
  <c r="Q41" i="9" s="1"/>
  <c r="AA19" i="9"/>
  <c r="H63" i="9"/>
  <c r="X21" i="9"/>
  <c r="R43" i="9" s="1"/>
  <c r="R34" i="9"/>
  <c r="D41" i="9"/>
  <c r="D43" i="9"/>
  <c r="P45" i="9"/>
  <c r="F9" i="10"/>
  <c r="F14" i="10"/>
  <c r="B14" i="10" s="1"/>
  <c r="G39" i="10"/>
  <c r="G45" i="10"/>
  <c r="B45" i="10" s="1"/>
  <c r="C30" i="11"/>
  <c r="Z9" i="9"/>
  <c r="T31" i="9" s="1"/>
  <c r="H54" i="9"/>
  <c r="L51" i="9"/>
  <c r="B25" i="11" s="1"/>
  <c r="J51" i="9"/>
  <c r="U33" i="9"/>
  <c r="C41" i="10" s="1"/>
  <c r="G56" i="9"/>
  <c r="W14" i="9"/>
  <c r="Q36" i="9" s="1"/>
  <c r="M16" i="9"/>
  <c r="Y16" i="9" s="1"/>
  <c r="R44" i="9"/>
  <c r="H55" i="9"/>
  <c r="X14" i="9"/>
  <c r="I16" i="9"/>
  <c r="I38" i="9" s="1"/>
  <c r="J60" i="9"/>
  <c r="F61" i="9"/>
  <c r="W21" i="9"/>
  <c r="Q43" i="9" s="1"/>
  <c r="AA21" i="9"/>
  <c r="U43" i="9" s="1"/>
  <c r="F66" i="9"/>
  <c r="P35" i="9"/>
  <c r="H41" i="9"/>
  <c r="T45" i="9"/>
  <c r="C31" i="10" s="1"/>
  <c r="D56" i="9"/>
  <c r="E17" i="10"/>
  <c r="F11" i="10"/>
  <c r="G22" i="10"/>
  <c r="F25" i="10"/>
  <c r="G26" i="10"/>
  <c r="B26" i="10" s="1"/>
  <c r="G27" i="10"/>
  <c r="F29" i="10"/>
  <c r="G30" i="10"/>
  <c r="B30" i="10" s="1"/>
  <c r="G31" i="10"/>
  <c r="E33" i="10"/>
  <c r="C34" i="11"/>
  <c r="K61" i="9"/>
  <c r="B17" i="11" s="1"/>
  <c r="G61" i="9"/>
  <c r="S40" i="9"/>
  <c r="C12" i="10" s="1"/>
  <c r="K63" i="9"/>
  <c r="B18" i="11" s="1"/>
  <c r="G63" i="9"/>
  <c r="S42" i="9"/>
  <c r="C13" i="10" s="1"/>
  <c r="K65" i="9"/>
  <c r="B19" i="11" s="1"/>
  <c r="G65" i="9"/>
  <c r="S44" i="9"/>
  <c r="C14" i="10" s="1"/>
  <c r="N25" i="9"/>
  <c r="N26" i="9" s="1"/>
  <c r="P33" i="9"/>
  <c r="C43" i="11"/>
  <c r="E43" i="11" s="1"/>
  <c r="D29" i="11"/>
  <c r="P39" i="9"/>
  <c r="D34" i="11"/>
  <c r="C48" i="11"/>
  <c r="J54" i="9"/>
  <c r="E65" i="9"/>
  <c r="S30" i="9"/>
  <c r="K51" i="9"/>
  <c r="B11" i="11" s="1"/>
  <c r="G51" i="9"/>
  <c r="S32" i="9"/>
  <c r="C7" i="10" s="1"/>
  <c r="K53" i="9"/>
  <c r="B12" i="11" s="1"/>
  <c r="G53" i="9"/>
  <c r="H56" i="9"/>
  <c r="E9" i="9"/>
  <c r="E36" i="9"/>
  <c r="I9" i="9"/>
  <c r="I36" i="9"/>
  <c r="M9" i="9"/>
  <c r="K15" i="9"/>
  <c r="AA16" i="9"/>
  <c r="K60" i="9"/>
  <c r="B16" i="11" s="1"/>
  <c r="L61" i="9"/>
  <c r="B31" i="11" s="1"/>
  <c r="V19" i="9"/>
  <c r="V21" i="9"/>
  <c r="E64" i="9" s="1"/>
  <c r="L65" i="9"/>
  <c r="B33" i="11" s="1"/>
  <c r="D67" i="9"/>
  <c r="J67" i="9"/>
  <c r="H67" i="9"/>
  <c r="L67" i="9"/>
  <c r="B24" i="11" s="1"/>
  <c r="C21" i="11"/>
  <c r="P32" i="9"/>
  <c r="R33" i="9"/>
  <c r="D28" i="11"/>
  <c r="C42" i="11"/>
  <c r="E42" i="11" s="1"/>
  <c r="T34" i="9"/>
  <c r="C25" i="10" s="1"/>
  <c r="R39" i="9"/>
  <c r="C45" i="11"/>
  <c r="D31" i="11"/>
  <c r="T40" i="9"/>
  <c r="C28" i="10" s="1"/>
  <c r="D32" i="11"/>
  <c r="C46" i="11"/>
  <c r="T42" i="9"/>
  <c r="C29" i="10" s="1"/>
  <c r="C47" i="11"/>
  <c r="D33" i="11"/>
  <c r="T44" i="9"/>
  <c r="C30" i="10" s="1"/>
  <c r="P46" i="9"/>
  <c r="L54" i="9"/>
  <c r="B27" i="11" s="1"/>
  <c r="L56" i="9"/>
  <c r="B29" i="11" s="1"/>
  <c r="D60" i="9"/>
  <c r="E61" i="9"/>
  <c r="E55" i="9"/>
  <c r="Q34" i="9"/>
  <c r="J55" i="9"/>
  <c r="M55" i="9"/>
  <c r="B42" i="11" s="1"/>
  <c r="F42" i="11" s="1"/>
  <c r="U34" i="9"/>
  <c r="C42" i="10" s="1"/>
  <c r="K55" i="9"/>
  <c r="B14" i="11" s="1"/>
  <c r="G55" i="9"/>
  <c r="S34" i="9"/>
  <c r="C9" i="10" s="1"/>
  <c r="H60" i="9"/>
  <c r="I61" i="9"/>
  <c r="U40" i="9"/>
  <c r="C45" i="10" s="1"/>
  <c r="E63" i="9"/>
  <c r="Q42" i="9"/>
  <c r="J63" i="9"/>
  <c r="M63" i="9"/>
  <c r="B46" i="11" s="1"/>
  <c r="U42" i="9"/>
  <c r="M65" i="9"/>
  <c r="B47" i="11" s="1"/>
  <c r="I65" i="9"/>
  <c r="U44" i="9"/>
  <c r="C41" i="11"/>
  <c r="D27" i="11"/>
  <c r="T33" i="9"/>
  <c r="C24" i="10" s="1"/>
  <c r="D30" i="11"/>
  <c r="C44" i="11"/>
  <c r="E44" i="11" s="1"/>
  <c r="T39" i="9"/>
  <c r="C27" i="10" s="1"/>
  <c r="G60" i="9"/>
  <c r="I63" i="9"/>
  <c r="J65" i="9"/>
  <c r="E51" i="9"/>
  <c r="Q30" i="9"/>
  <c r="M51" i="9"/>
  <c r="B39" i="11" s="1"/>
  <c r="I51" i="9"/>
  <c r="E53" i="9"/>
  <c r="Q32" i="9"/>
  <c r="M53" i="9"/>
  <c r="B40" i="11" s="1"/>
  <c r="I53" i="9"/>
  <c r="U32" i="9"/>
  <c r="K54" i="9"/>
  <c r="B13" i="11" s="1"/>
  <c r="F56" i="9"/>
  <c r="G36" i="9"/>
  <c r="G9" i="9"/>
  <c r="K9" i="9"/>
  <c r="O9" i="9"/>
  <c r="Y14" i="9"/>
  <c r="O15" i="9"/>
  <c r="X16" i="9"/>
  <c r="Z19" i="9"/>
  <c r="Z21" i="9"/>
  <c r="F67" i="9"/>
  <c r="C39" i="11"/>
  <c r="D25" i="11"/>
  <c r="T30" i="9"/>
  <c r="D26" i="11"/>
  <c r="C40" i="11"/>
  <c r="T32" i="9"/>
  <c r="C23" i="10" s="1"/>
  <c r="P34" i="9"/>
  <c r="R35" i="9"/>
  <c r="P40" i="9"/>
  <c r="F41" i="9"/>
  <c r="P42" i="9"/>
  <c r="P44" i="9"/>
  <c r="R45" i="9"/>
  <c r="C38" i="11"/>
  <c r="D24" i="11"/>
  <c r="T46" i="9"/>
  <c r="J53" i="9"/>
  <c r="J61" i="9"/>
  <c r="L63" i="9"/>
  <c r="B32" i="11" s="1"/>
  <c r="E56" i="9"/>
  <c r="M56" i="9"/>
  <c r="B43" i="11" s="1"/>
  <c r="I56" i="9"/>
  <c r="Y19" i="9"/>
  <c r="Y21" i="9"/>
  <c r="E66" i="9"/>
  <c r="M66" i="9"/>
  <c r="B48" i="11" s="1"/>
  <c r="I66" i="9"/>
  <c r="K67" i="9"/>
  <c r="B10" i="11" s="1"/>
  <c r="G67" i="9"/>
  <c r="C25" i="11"/>
  <c r="D11" i="11"/>
  <c r="E12" i="11"/>
  <c r="D41" i="11"/>
  <c r="S33" i="9"/>
  <c r="C8" i="10" s="1"/>
  <c r="E14" i="11"/>
  <c r="S35" i="9"/>
  <c r="C10" i="10" s="1"/>
  <c r="S39" i="9"/>
  <c r="C11" i="10" s="1"/>
  <c r="C31" i="11"/>
  <c r="D17" i="11"/>
  <c r="E17" i="11" s="1"/>
  <c r="E18" i="11"/>
  <c r="C33" i="11"/>
  <c r="D19" i="11"/>
  <c r="E19" i="11" s="1"/>
  <c r="D48" i="11"/>
  <c r="E54" i="9"/>
  <c r="I54" i="9"/>
  <c r="M54" i="9"/>
  <c r="B41" i="11" s="1"/>
  <c r="F22" i="10"/>
  <c r="D33" i="10"/>
  <c r="D10" i="11"/>
  <c r="C32" i="11"/>
  <c r="E60" i="9"/>
  <c r="M60" i="9"/>
  <c r="B44" i="11" s="1"/>
  <c r="I60" i="9"/>
  <c r="K66" i="9"/>
  <c r="B20" i="11" s="1"/>
  <c r="G66" i="9"/>
  <c r="E67" i="9"/>
  <c r="M67" i="9"/>
  <c r="B38" i="11" s="1"/>
  <c r="I67" i="9"/>
  <c r="D39" i="11"/>
  <c r="D40" i="11"/>
  <c r="C27" i="11"/>
  <c r="D13" i="11"/>
  <c r="E13" i="11" s="1"/>
  <c r="C29" i="11"/>
  <c r="D15" i="11"/>
  <c r="E15" i="11" s="1"/>
  <c r="Q35" i="9"/>
  <c r="U35" i="9"/>
  <c r="C43" i="10" s="1"/>
  <c r="E16" i="11"/>
  <c r="Q39" i="9"/>
  <c r="U39" i="9"/>
  <c r="C44" i="10" s="1"/>
  <c r="D46" i="11"/>
  <c r="D47" i="11"/>
  <c r="E20" i="11"/>
  <c r="Q45" i="9"/>
  <c r="U45" i="9"/>
  <c r="S46" i="9"/>
  <c r="G54" i="9"/>
  <c r="J66" i="9"/>
  <c r="D17" i="10"/>
  <c r="G47" i="10"/>
  <c r="B47" i="10" s="1"/>
  <c r="G48" i="10"/>
  <c r="C28" i="11"/>
  <c r="G6" i="10"/>
  <c r="F39" i="10"/>
  <c r="F42" i="10"/>
  <c r="F44" i="10"/>
  <c r="F46" i="10"/>
  <c r="F48" i="10"/>
  <c r="J11" i="7"/>
  <c r="J10" i="7"/>
  <c r="J9" i="7"/>
  <c r="J8" i="7"/>
  <c r="J7" i="7"/>
  <c r="B49" i="10" l="1"/>
  <c r="E30" i="11"/>
  <c r="E40" i="11"/>
  <c r="V16" i="9"/>
  <c r="D59" i="9" s="1"/>
  <c r="F57" i="9"/>
  <c r="P15" i="9"/>
  <c r="V15" i="9" s="1"/>
  <c r="X9" i="9"/>
  <c r="R31" i="9" s="1"/>
  <c r="F25" i="9"/>
  <c r="F26" i="9" s="1"/>
  <c r="F30" i="11"/>
  <c r="T15" i="9"/>
  <c r="B40" i="10"/>
  <c r="P25" i="9"/>
  <c r="P26" i="9" s="1"/>
  <c r="J37" i="9"/>
  <c r="Q15" i="9"/>
  <c r="K38" i="9"/>
  <c r="U15" i="9"/>
  <c r="AA15" i="9" s="1"/>
  <c r="O38" i="9"/>
  <c r="B44" i="10"/>
  <c r="T38" i="9"/>
  <c r="S25" i="9"/>
  <c r="S26" i="9" s="1"/>
  <c r="D13" i="12"/>
  <c r="F13" i="12" s="1"/>
  <c r="C40" i="10"/>
  <c r="B23" i="10"/>
  <c r="W16" i="9"/>
  <c r="D10" i="12"/>
  <c r="F10" i="12" s="1"/>
  <c r="B16" i="10"/>
  <c r="B32" i="10"/>
  <c r="R15" i="9"/>
  <c r="L38" i="9"/>
  <c r="B46" i="10"/>
  <c r="B7" i="10"/>
  <c r="B42" i="10"/>
  <c r="B25" i="10"/>
  <c r="B9" i="10"/>
  <c r="B15" i="10"/>
  <c r="F48" i="11"/>
  <c r="E46" i="11"/>
  <c r="E48" i="11"/>
  <c r="B41" i="10"/>
  <c r="G38" i="9"/>
  <c r="B31" i="10"/>
  <c r="D25" i="9"/>
  <c r="D26" i="9" s="1"/>
  <c r="I62" i="9"/>
  <c r="B27" i="10"/>
  <c r="B10" i="10"/>
  <c r="B39" i="10"/>
  <c r="H57" i="9"/>
  <c r="K59" i="9"/>
  <c r="F45" i="11"/>
  <c r="B28" i="10"/>
  <c r="I57" i="9"/>
  <c r="E26" i="11"/>
  <c r="V9" i="9"/>
  <c r="H52" i="9" s="1"/>
  <c r="R36" i="9"/>
  <c r="I15" i="9"/>
  <c r="I37" i="9" s="1"/>
  <c r="B29" i="10"/>
  <c r="F26" i="11"/>
  <c r="E41" i="11"/>
  <c r="F25" i="11"/>
  <c r="M64" i="9"/>
  <c r="B11" i="10"/>
  <c r="F33" i="10"/>
  <c r="P36" i="9"/>
  <c r="U41" i="9"/>
  <c r="D11" i="12" s="1"/>
  <c r="F11" i="12" s="1"/>
  <c r="E15" i="9"/>
  <c r="E37" i="9" s="1"/>
  <c r="E62" i="9"/>
  <c r="X15" i="9"/>
  <c r="F28" i="11"/>
  <c r="J62" i="9"/>
  <c r="M57" i="9"/>
  <c r="H59" i="9"/>
  <c r="E34" i="11"/>
  <c r="U36" i="9"/>
  <c r="D12" i="12" s="1"/>
  <c r="F12" i="12" s="1"/>
  <c r="G59" i="9"/>
  <c r="B13" i="10"/>
  <c r="F27" i="11"/>
  <c r="G50" i="10"/>
  <c r="F47" i="11"/>
  <c r="B22" i="10"/>
  <c r="G33" i="10"/>
  <c r="E47" i="11"/>
  <c r="E57" i="9"/>
  <c r="J57" i="9"/>
  <c r="I64" i="9"/>
  <c r="S38" i="9"/>
  <c r="H25" i="9"/>
  <c r="H26" i="9" s="1"/>
  <c r="B49" i="11"/>
  <c r="F41" i="11"/>
  <c r="J64" i="9"/>
  <c r="E45" i="11"/>
  <c r="J25" i="9"/>
  <c r="J26" i="9" s="1"/>
  <c r="F64" i="9"/>
  <c r="F62" i="9"/>
  <c r="E28" i="11"/>
  <c r="F17" i="10"/>
  <c r="E27" i="11"/>
  <c r="M15" i="9"/>
  <c r="M25" i="9" s="1"/>
  <c r="M26" i="9" s="1"/>
  <c r="E31" i="11"/>
  <c r="F31" i="11"/>
  <c r="F34" i="11"/>
  <c r="G17" i="10"/>
  <c r="B6" i="10"/>
  <c r="D21" i="11"/>
  <c r="E11" i="11"/>
  <c r="G62" i="9"/>
  <c r="S41" i="9"/>
  <c r="K62" i="9"/>
  <c r="L62" i="9"/>
  <c r="H62" i="9"/>
  <c r="T41" i="9"/>
  <c r="F13" i="11"/>
  <c r="F29" i="11"/>
  <c r="W15" i="9"/>
  <c r="F59" i="9"/>
  <c r="R38" i="9"/>
  <c r="O25" i="9"/>
  <c r="O26" i="9" s="1"/>
  <c r="AA9" i="9"/>
  <c r="M62" i="9"/>
  <c r="E33" i="11"/>
  <c r="E32" i="11"/>
  <c r="B35" i="11"/>
  <c r="F33" i="11"/>
  <c r="Y9" i="9"/>
  <c r="E31" i="9"/>
  <c r="F11" i="11"/>
  <c r="F17" i="11"/>
  <c r="B48" i="10"/>
  <c r="D49" i="11"/>
  <c r="E39" i="11"/>
  <c r="F44" i="11"/>
  <c r="C14" i="12"/>
  <c r="E6" i="12"/>
  <c r="F43" i="11"/>
  <c r="Q38" i="9"/>
  <c r="F46" i="11"/>
  <c r="F14" i="11"/>
  <c r="D64" i="9"/>
  <c r="P43" i="9"/>
  <c r="F16" i="11"/>
  <c r="F12" i="11"/>
  <c r="C6" i="10"/>
  <c r="C17" i="10" s="1"/>
  <c r="S47" i="9"/>
  <c r="C16" i="10" s="1"/>
  <c r="F18" i="11"/>
  <c r="F20" i="11"/>
  <c r="D35" i="11"/>
  <c r="E25" i="11"/>
  <c r="C47" i="10"/>
  <c r="D7" i="12"/>
  <c r="F7" i="12" s="1"/>
  <c r="C35" i="11"/>
  <c r="F32" i="11"/>
  <c r="C49" i="11"/>
  <c r="G25" i="9"/>
  <c r="G26" i="9" s="1"/>
  <c r="G31" i="9"/>
  <c r="F39" i="11"/>
  <c r="D9" i="12"/>
  <c r="F9" i="12" s="1"/>
  <c r="C46" i="10"/>
  <c r="F50" i="10"/>
  <c r="D6" i="12"/>
  <c r="C48" i="10"/>
  <c r="B21" i="11"/>
  <c r="K64" i="9"/>
  <c r="S43" i="9"/>
  <c r="G64" i="9"/>
  <c r="C22" i="10"/>
  <c r="C33" i="10" s="1"/>
  <c r="T47" i="9"/>
  <c r="C32" i="10" s="1"/>
  <c r="H64" i="9"/>
  <c r="L64" i="9"/>
  <c r="T43" i="9"/>
  <c r="K57" i="9"/>
  <c r="G57" i="9"/>
  <c r="S36" i="9"/>
  <c r="K25" i="9"/>
  <c r="K26" i="9" s="1"/>
  <c r="W9" i="9"/>
  <c r="F40" i="11"/>
  <c r="D8" i="12"/>
  <c r="F8" i="12" s="1"/>
  <c r="C39" i="10"/>
  <c r="U47" i="9"/>
  <c r="C49" i="10" s="1"/>
  <c r="L57" i="9"/>
  <c r="D62" i="9"/>
  <c r="P41" i="9"/>
  <c r="M59" i="9"/>
  <c r="J59" i="9"/>
  <c r="U38" i="9"/>
  <c r="I31" i="9"/>
  <c r="E29" i="11"/>
  <c r="F19" i="11"/>
  <c r="E48" i="1"/>
  <c r="E47" i="1"/>
  <c r="E46" i="1"/>
  <c r="E45" i="1"/>
  <c r="E44" i="1"/>
  <c r="E43" i="1"/>
  <c r="E42" i="1"/>
  <c r="E41" i="1"/>
  <c r="E40" i="1"/>
  <c r="E39" i="1"/>
  <c r="D48" i="1"/>
  <c r="D47" i="1"/>
  <c r="D46" i="1"/>
  <c r="D45" i="1"/>
  <c r="D44" i="1"/>
  <c r="D43" i="1"/>
  <c r="D42" i="1"/>
  <c r="D41" i="1"/>
  <c r="D40" i="1"/>
  <c r="D39" i="1"/>
  <c r="E31" i="1"/>
  <c r="E30" i="1"/>
  <c r="E29" i="1"/>
  <c r="E28" i="1"/>
  <c r="E27" i="1"/>
  <c r="E26" i="1"/>
  <c r="E25" i="1"/>
  <c r="E24" i="1"/>
  <c r="E23" i="1"/>
  <c r="E22" i="1"/>
  <c r="D31" i="1"/>
  <c r="D30" i="1"/>
  <c r="D29" i="1"/>
  <c r="D28" i="1"/>
  <c r="D27" i="1"/>
  <c r="D26" i="1"/>
  <c r="D25" i="1"/>
  <c r="D24" i="1"/>
  <c r="D23" i="1"/>
  <c r="D22" i="1"/>
  <c r="E15" i="1"/>
  <c r="E14" i="1"/>
  <c r="E13" i="1"/>
  <c r="E12" i="1"/>
  <c r="E11" i="1"/>
  <c r="E10" i="1"/>
  <c r="E9" i="1"/>
  <c r="E8" i="1"/>
  <c r="E7" i="1"/>
  <c r="E6" i="1"/>
  <c r="D15" i="1"/>
  <c r="D14" i="1"/>
  <c r="D13" i="1"/>
  <c r="D12" i="1"/>
  <c r="D11" i="1"/>
  <c r="D10" i="1"/>
  <c r="D9" i="1"/>
  <c r="D8" i="1"/>
  <c r="D7" i="1"/>
  <c r="D6" i="1"/>
  <c r="B9" i="5"/>
  <c r="B10" i="5" s="1"/>
  <c r="AA28" i="5"/>
  <c r="Z28" i="5"/>
  <c r="Y28" i="5"/>
  <c r="X28" i="5"/>
  <c r="W28" i="5"/>
  <c r="V28" i="5"/>
  <c r="U27" i="5"/>
  <c r="O48" i="5" s="1"/>
  <c r="C7" i="3" s="1"/>
  <c r="T27" i="5"/>
  <c r="D49" i="1" s="1"/>
  <c r="F49" i="1" s="1"/>
  <c r="S27" i="5"/>
  <c r="E16" i="1" s="1"/>
  <c r="R27" i="5"/>
  <c r="D16" i="1" s="1"/>
  <c r="F16" i="1" s="1"/>
  <c r="Q27" i="5"/>
  <c r="K48" i="5" s="1"/>
  <c r="P27" i="5"/>
  <c r="J43" i="5" s="1"/>
  <c r="O27" i="5"/>
  <c r="N27" i="5"/>
  <c r="M27" i="5"/>
  <c r="L27" i="5"/>
  <c r="K27" i="5"/>
  <c r="J27" i="5"/>
  <c r="I27" i="5"/>
  <c r="I50" i="5" s="1"/>
  <c r="H27" i="5"/>
  <c r="H38" i="5" s="1"/>
  <c r="G27" i="5"/>
  <c r="G37" i="5" s="1"/>
  <c r="F27" i="5"/>
  <c r="F43" i="5" s="1"/>
  <c r="E27" i="5"/>
  <c r="E50" i="5" s="1"/>
  <c r="D27" i="5"/>
  <c r="D44" i="5" s="1"/>
  <c r="U26" i="5"/>
  <c r="U23" i="5" s="1"/>
  <c r="T26" i="5"/>
  <c r="S26" i="5"/>
  <c r="S23" i="5" s="1"/>
  <c r="R26" i="5"/>
  <c r="Q26" i="5"/>
  <c r="Q23" i="5" s="1"/>
  <c r="P26" i="5"/>
  <c r="O26" i="5"/>
  <c r="N26" i="5"/>
  <c r="N23" i="5" s="1"/>
  <c r="M26" i="5"/>
  <c r="M23" i="5" s="1"/>
  <c r="L26" i="5"/>
  <c r="L23" i="5" s="1"/>
  <c r="K26" i="5"/>
  <c r="J26" i="5"/>
  <c r="J23" i="5" s="1"/>
  <c r="I26" i="5"/>
  <c r="H26" i="5"/>
  <c r="G26" i="5"/>
  <c r="F26" i="5"/>
  <c r="F23" i="5" s="1"/>
  <c r="E26" i="5"/>
  <c r="D26" i="5"/>
  <c r="D23" i="5" s="1"/>
  <c r="AA25" i="5"/>
  <c r="Z25" i="5"/>
  <c r="Y25" i="5"/>
  <c r="X25" i="5"/>
  <c r="W25" i="5"/>
  <c r="W26" i="5" s="1"/>
  <c r="V25" i="5"/>
  <c r="V26" i="5" s="1"/>
  <c r="D70" i="5" s="1"/>
  <c r="AA24" i="5"/>
  <c r="Z24" i="5"/>
  <c r="Y24" i="5"/>
  <c r="X24" i="5"/>
  <c r="W24" i="5"/>
  <c r="V24" i="5"/>
  <c r="U22" i="5"/>
  <c r="O46" i="5" s="1"/>
  <c r="D46" i="2" s="1"/>
  <c r="T22" i="5"/>
  <c r="N46" i="5" s="1"/>
  <c r="C46" i="2" s="1"/>
  <c r="S22" i="5"/>
  <c r="M46" i="5" s="1"/>
  <c r="D18" i="2" s="1"/>
  <c r="R22" i="5"/>
  <c r="L46" i="5" s="1"/>
  <c r="C18" i="2" s="1"/>
  <c r="Q22" i="5"/>
  <c r="K46" i="5" s="1"/>
  <c r="P22" i="5"/>
  <c r="J46" i="5" s="1"/>
  <c r="O22" i="5"/>
  <c r="N22" i="5"/>
  <c r="M22" i="5"/>
  <c r="L22" i="5"/>
  <c r="K22" i="5"/>
  <c r="J22" i="5"/>
  <c r="I22" i="5"/>
  <c r="I46" i="5" s="1"/>
  <c r="H22" i="5"/>
  <c r="H46" i="5" s="1"/>
  <c r="G22" i="5"/>
  <c r="G46" i="5" s="1"/>
  <c r="F22" i="5"/>
  <c r="F46" i="5" s="1"/>
  <c r="E22" i="5"/>
  <c r="E46" i="5" s="1"/>
  <c r="D22" i="5"/>
  <c r="D46" i="5" s="1"/>
  <c r="U19" i="5"/>
  <c r="T19" i="5"/>
  <c r="S19" i="5"/>
  <c r="R19" i="5"/>
  <c r="Q19" i="5"/>
  <c r="P19" i="5"/>
  <c r="O19" i="5"/>
  <c r="N19" i="5"/>
  <c r="M19" i="5"/>
  <c r="L19" i="5"/>
  <c r="K19" i="5"/>
  <c r="J19" i="5"/>
  <c r="I19" i="5"/>
  <c r="H19" i="5"/>
  <c r="G19" i="5"/>
  <c r="F19" i="5"/>
  <c r="E19" i="5"/>
  <c r="D19" i="5"/>
  <c r="AA18" i="5"/>
  <c r="J65" i="5" s="1"/>
  <c r="Z18" i="5"/>
  <c r="Y18" i="5"/>
  <c r="X18" i="5"/>
  <c r="W18" i="5"/>
  <c r="V18" i="5"/>
  <c r="AA17" i="5"/>
  <c r="Z17" i="5"/>
  <c r="Y17" i="5"/>
  <c r="X17" i="5"/>
  <c r="W17" i="5"/>
  <c r="V17" i="5"/>
  <c r="U14" i="5"/>
  <c r="O40" i="5" s="1"/>
  <c r="C12" i="3" s="1"/>
  <c r="T14" i="5"/>
  <c r="T9" i="5" s="1"/>
  <c r="N35" i="5" s="1"/>
  <c r="S14" i="5"/>
  <c r="R14" i="5"/>
  <c r="L40" i="5" s="1"/>
  <c r="Q14" i="5"/>
  <c r="Q9" i="5" s="1"/>
  <c r="K35" i="5" s="1"/>
  <c r="P14" i="5"/>
  <c r="J40" i="5" s="1"/>
  <c r="O14" i="5"/>
  <c r="N14" i="5"/>
  <c r="N9" i="5" s="1"/>
  <c r="M14" i="5"/>
  <c r="L14" i="5"/>
  <c r="K14" i="5"/>
  <c r="K9" i="5" s="1"/>
  <c r="J14" i="5"/>
  <c r="J9" i="5" s="1"/>
  <c r="I14" i="5"/>
  <c r="I40" i="5" s="1"/>
  <c r="H14" i="5"/>
  <c r="H40" i="5" s="1"/>
  <c r="G14" i="5"/>
  <c r="G40" i="5" s="1"/>
  <c r="F14" i="5"/>
  <c r="F9" i="5" s="1"/>
  <c r="F35" i="5" s="1"/>
  <c r="E14" i="5"/>
  <c r="E9" i="5" s="1"/>
  <c r="E35" i="5" s="1"/>
  <c r="D14" i="5"/>
  <c r="D40" i="5" s="1"/>
  <c r="AA13" i="5"/>
  <c r="Z13" i="5"/>
  <c r="Y13" i="5"/>
  <c r="X13" i="5"/>
  <c r="W13" i="5"/>
  <c r="V13" i="5"/>
  <c r="D60" i="5" s="1"/>
  <c r="AA12" i="5"/>
  <c r="J59" i="5" s="1"/>
  <c r="Z12" i="5"/>
  <c r="Y12" i="5"/>
  <c r="X12" i="5"/>
  <c r="W12" i="5"/>
  <c r="V12" i="5"/>
  <c r="D59" i="5" s="1"/>
  <c r="AA11" i="5"/>
  <c r="Z11" i="5"/>
  <c r="Y11" i="5"/>
  <c r="X11" i="5"/>
  <c r="W11" i="5"/>
  <c r="V11" i="5"/>
  <c r="D58" i="5" s="1"/>
  <c r="AA10" i="5"/>
  <c r="J57" i="5" s="1"/>
  <c r="Z10" i="5"/>
  <c r="Y10" i="5"/>
  <c r="X10" i="5"/>
  <c r="W10" i="5"/>
  <c r="V10" i="5"/>
  <c r="AA8" i="5"/>
  <c r="Z8" i="5"/>
  <c r="Y8" i="5"/>
  <c r="X8" i="5"/>
  <c r="W8" i="5"/>
  <c r="V8" i="5"/>
  <c r="K13" i="12" l="1"/>
  <c r="K15" i="12"/>
  <c r="K14" i="12"/>
  <c r="L17" i="12"/>
  <c r="L18" i="12"/>
  <c r="L16" i="12"/>
  <c r="O26" i="12"/>
  <c r="O25" i="12"/>
  <c r="O27" i="12"/>
  <c r="M20" i="12"/>
  <c r="M19" i="12"/>
  <c r="M21" i="12"/>
  <c r="P30" i="12"/>
  <c r="P28" i="12"/>
  <c r="P29" i="12"/>
  <c r="J11" i="12"/>
  <c r="J12" i="12"/>
  <c r="J10" i="12"/>
  <c r="H9" i="12"/>
  <c r="H8" i="12" s="1"/>
  <c r="H10" i="12"/>
  <c r="N24" i="12"/>
  <c r="N22" i="12"/>
  <c r="N23" i="12"/>
  <c r="P37" i="9"/>
  <c r="D58" i="9"/>
  <c r="I59" i="9"/>
  <c r="E59" i="9"/>
  <c r="P38" i="9"/>
  <c r="N37" i="9"/>
  <c r="Z15" i="9"/>
  <c r="T25" i="9"/>
  <c r="T26" i="9" s="1"/>
  <c r="K37" i="9"/>
  <c r="Q25" i="9"/>
  <c r="Q26" i="9" s="1"/>
  <c r="L37" i="9"/>
  <c r="R25" i="9"/>
  <c r="R26" i="9" s="1"/>
  <c r="O37" i="9"/>
  <c r="U25" i="9"/>
  <c r="U26" i="9" s="1"/>
  <c r="F52" i="9"/>
  <c r="D52" i="9"/>
  <c r="U48" i="9"/>
  <c r="P31" i="9"/>
  <c r="I25" i="9"/>
  <c r="I26" i="9" s="1"/>
  <c r="Y15" i="9"/>
  <c r="K58" i="9" s="1"/>
  <c r="E25" i="9"/>
  <c r="E26" i="9" s="1"/>
  <c r="B17" i="10"/>
  <c r="F49" i="11"/>
  <c r="F6" i="11" s="1"/>
  <c r="G6" i="11" s="1"/>
  <c r="F58" i="9"/>
  <c r="R37" i="9"/>
  <c r="C50" i="10"/>
  <c r="F35" i="11"/>
  <c r="F5" i="11" s="1"/>
  <c r="G5" i="11" s="1"/>
  <c r="Q31" i="9"/>
  <c r="E52" i="9"/>
  <c r="F6" i="12"/>
  <c r="D14" i="12"/>
  <c r="K52" i="9"/>
  <c r="G52" i="9"/>
  <c r="S31" i="9"/>
  <c r="L52" i="9"/>
  <c r="E58" i="9"/>
  <c r="Q37" i="9"/>
  <c r="I58" i="9"/>
  <c r="U37" i="9"/>
  <c r="J58" i="9"/>
  <c r="F21" i="11"/>
  <c r="F4" i="11" s="1"/>
  <c r="G4" i="11" s="1"/>
  <c r="U31" i="9"/>
  <c r="M52" i="9"/>
  <c r="I52" i="9"/>
  <c r="J52" i="9"/>
  <c r="J55" i="5"/>
  <c r="J58" i="5"/>
  <c r="J60" i="5"/>
  <c r="J64" i="5"/>
  <c r="J69" i="5"/>
  <c r="F39" i="5"/>
  <c r="G39" i="5"/>
  <c r="F44" i="5"/>
  <c r="G44" i="5"/>
  <c r="D38" i="5"/>
  <c r="D43" i="5"/>
  <c r="H43" i="5"/>
  <c r="I38" i="5"/>
  <c r="E43" i="5"/>
  <c r="F38" i="5"/>
  <c r="D39" i="5"/>
  <c r="H39" i="5"/>
  <c r="H44" i="5"/>
  <c r="E38" i="5"/>
  <c r="I43" i="5"/>
  <c r="G38" i="5"/>
  <c r="E39" i="5"/>
  <c r="I39" i="5"/>
  <c r="G43" i="5"/>
  <c r="E44" i="5"/>
  <c r="I44" i="5"/>
  <c r="F59" i="5"/>
  <c r="D45" i="5"/>
  <c r="H45" i="5"/>
  <c r="J45" i="5"/>
  <c r="N45" i="5"/>
  <c r="M44" i="5"/>
  <c r="D17" i="2" s="1"/>
  <c r="E59" i="5"/>
  <c r="M59" i="5"/>
  <c r="B42" i="2" s="1"/>
  <c r="K60" i="5"/>
  <c r="B15" i="2" s="1"/>
  <c r="K64" i="5"/>
  <c r="B16" i="2" s="1"/>
  <c r="E32" i="1"/>
  <c r="G32" i="1" s="1"/>
  <c r="M39" i="5"/>
  <c r="D15" i="2" s="1"/>
  <c r="G59" i="5"/>
  <c r="D32" i="2"/>
  <c r="E46" i="2"/>
  <c r="C9" i="3"/>
  <c r="L38" i="5"/>
  <c r="C14" i="2" s="1"/>
  <c r="J39" i="5"/>
  <c r="N39" i="5"/>
  <c r="L43" i="5"/>
  <c r="C16" i="2" s="1"/>
  <c r="J44" i="5"/>
  <c r="N44" i="5"/>
  <c r="C32" i="2"/>
  <c r="K38" i="5"/>
  <c r="K43" i="5"/>
  <c r="E60" i="5"/>
  <c r="M60" i="5"/>
  <c r="B43" i="2" s="1"/>
  <c r="I64" i="5"/>
  <c r="M38" i="5"/>
  <c r="K39" i="5"/>
  <c r="O39" i="5"/>
  <c r="D43" i="2" s="1"/>
  <c r="M43" i="5"/>
  <c r="K44" i="5"/>
  <c r="O44" i="5"/>
  <c r="D45" i="2" s="1"/>
  <c r="O38" i="5"/>
  <c r="D42" i="2" s="1"/>
  <c r="O43" i="5"/>
  <c r="D44" i="2" s="1"/>
  <c r="J38" i="5"/>
  <c r="N38" i="5"/>
  <c r="L39" i="5"/>
  <c r="C15" i="2" s="1"/>
  <c r="N43" i="5"/>
  <c r="L44" i="5"/>
  <c r="C17" i="2" s="1"/>
  <c r="D47" i="2"/>
  <c r="E18" i="2"/>
  <c r="E45" i="5"/>
  <c r="I45" i="5"/>
  <c r="K45" i="5"/>
  <c r="O45" i="5"/>
  <c r="C11" i="3" s="1"/>
  <c r="K47" i="5"/>
  <c r="O47" i="5"/>
  <c r="I59" i="5"/>
  <c r="L59" i="5"/>
  <c r="B28" i="2" s="1"/>
  <c r="F41" i="1"/>
  <c r="F45" i="1"/>
  <c r="G55" i="5"/>
  <c r="L58" i="5"/>
  <c r="B27" i="2" s="1"/>
  <c r="L60" i="5"/>
  <c r="B29" i="2" s="1"/>
  <c r="L64" i="5"/>
  <c r="B30" i="2" s="1"/>
  <c r="E69" i="5"/>
  <c r="H59" i="5"/>
  <c r="F8" i="1"/>
  <c r="F60" i="5"/>
  <c r="H64" i="5"/>
  <c r="F65" i="5"/>
  <c r="G60" i="5"/>
  <c r="E64" i="5"/>
  <c r="G65" i="5"/>
  <c r="K59" i="5"/>
  <c r="B14" i="2" s="1"/>
  <c r="K65" i="5"/>
  <c r="B17" i="2" s="1"/>
  <c r="D32" i="1"/>
  <c r="F32" i="1" s="1"/>
  <c r="H60" i="5"/>
  <c r="F64" i="5"/>
  <c r="D65" i="5"/>
  <c r="H65" i="5"/>
  <c r="L65" i="5"/>
  <c r="B31" i="2" s="1"/>
  <c r="F12" i="1"/>
  <c r="D64" i="5"/>
  <c r="G8" i="1"/>
  <c r="G12" i="1"/>
  <c r="E49" i="1"/>
  <c r="G49" i="1" s="1"/>
  <c r="B49" i="1" s="1"/>
  <c r="I60" i="5"/>
  <c r="G64" i="5"/>
  <c r="E65" i="5"/>
  <c r="I65" i="5"/>
  <c r="M64" i="5"/>
  <c r="B44" i="2" s="1"/>
  <c r="M65" i="5"/>
  <c r="B45" i="2" s="1"/>
  <c r="G6" i="1"/>
  <c r="G10" i="1"/>
  <c r="G14" i="1"/>
  <c r="F39" i="1"/>
  <c r="F43" i="1"/>
  <c r="F47" i="1"/>
  <c r="F40" i="1"/>
  <c r="F44" i="1"/>
  <c r="F48" i="1"/>
  <c r="F9" i="1"/>
  <c r="F13" i="1"/>
  <c r="F7" i="1"/>
  <c r="F11" i="1"/>
  <c r="F15" i="1"/>
  <c r="G15" i="1"/>
  <c r="F42" i="1"/>
  <c r="F46" i="1"/>
  <c r="G7" i="1"/>
  <c r="G11" i="1"/>
  <c r="G13" i="1"/>
  <c r="F14" i="1"/>
  <c r="G16" i="1"/>
  <c r="B16" i="1" s="1"/>
  <c r="E33" i="1"/>
  <c r="E50" i="1"/>
  <c r="G9" i="1"/>
  <c r="F6" i="1"/>
  <c r="F10" i="1"/>
  <c r="E17" i="1"/>
  <c r="D33" i="1"/>
  <c r="D50" i="1"/>
  <c r="D17" i="1"/>
  <c r="G57" i="5"/>
  <c r="F69" i="5"/>
  <c r="G45" i="5"/>
  <c r="G49" i="5"/>
  <c r="K37" i="5"/>
  <c r="F58" i="5"/>
  <c r="E55" i="5"/>
  <c r="K50" i="5"/>
  <c r="O37" i="5"/>
  <c r="H57" i="5"/>
  <c r="L57" i="5"/>
  <c r="B26" i="2" s="1"/>
  <c r="M57" i="5"/>
  <c r="B40" i="2" s="1"/>
  <c r="D36" i="5"/>
  <c r="D37" i="5"/>
  <c r="H50" i="5"/>
  <c r="H37" i="5"/>
  <c r="J37" i="5"/>
  <c r="J34" i="5"/>
  <c r="N34" i="5"/>
  <c r="N50" i="5"/>
  <c r="D48" i="5"/>
  <c r="J50" i="5"/>
  <c r="N40" i="5"/>
  <c r="B11" i="5"/>
  <c r="L55" i="5"/>
  <c r="B25" i="2" s="1"/>
  <c r="M55" i="5"/>
  <c r="B39" i="2" s="1"/>
  <c r="H55" i="5"/>
  <c r="K58" i="5"/>
  <c r="B13" i="2" s="1"/>
  <c r="E70" i="5"/>
  <c r="I55" i="5"/>
  <c r="K69" i="5"/>
  <c r="B19" i="2" s="1"/>
  <c r="I57" i="5"/>
  <c r="E57" i="5"/>
  <c r="D57" i="5"/>
  <c r="K57" i="5"/>
  <c r="B12" i="2" s="1"/>
  <c r="F57" i="5"/>
  <c r="G69" i="5"/>
  <c r="D69" i="5"/>
  <c r="L69" i="5"/>
  <c r="B33" i="2" s="1"/>
  <c r="M69" i="5"/>
  <c r="B47" i="2" s="1"/>
  <c r="H69" i="5"/>
  <c r="D47" i="5"/>
  <c r="H49" i="5"/>
  <c r="J49" i="5"/>
  <c r="H48" i="5"/>
  <c r="F55" i="5"/>
  <c r="R9" i="5"/>
  <c r="L35" i="5" s="1"/>
  <c r="E58" i="5"/>
  <c r="H36" i="5"/>
  <c r="D55" i="5"/>
  <c r="H58" i="5"/>
  <c r="K55" i="5"/>
  <c r="B11" i="2" s="1"/>
  <c r="F11" i="2" s="1"/>
  <c r="I36" i="5"/>
  <c r="E48" i="5"/>
  <c r="K34" i="5"/>
  <c r="G58" i="5"/>
  <c r="I69" i="5"/>
  <c r="M58" i="5"/>
  <c r="B41" i="2" s="1"/>
  <c r="E36" i="5"/>
  <c r="I48" i="5"/>
  <c r="K40" i="5"/>
  <c r="O34" i="5"/>
  <c r="O50" i="5"/>
  <c r="D38" i="2" s="1"/>
  <c r="I58" i="5"/>
  <c r="F37" i="5"/>
  <c r="F48" i="5"/>
  <c r="F36" i="5"/>
  <c r="L49" i="5"/>
  <c r="L37" i="5"/>
  <c r="C13" i="2" s="1"/>
  <c r="L50" i="5"/>
  <c r="C10" i="2" s="1"/>
  <c r="L34" i="5"/>
  <c r="C11" i="2" s="1"/>
  <c r="L45" i="5"/>
  <c r="S9" i="5"/>
  <c r="M35" i="5" s="1"/>
  <c r="M40" i="5"/>
  <c r="E23" i="5"/>
  <c r="E47" i="5" s="1"/>
  <c r="E49" i="5"/>
  <c r="I23" i="5"/>
  <c r="I47" i="5" s="1"/>
  <c r="I49" i="5"/>
  <c r="G48" i="5"/>
  <c r="G36" i="5"/>
  <c r="M50" i="5"/>
  <c r="M34" i="5"/>
  <c r="M48" i="5"/>
  <c r="M37" i="5"/>
  <c r="M36" i="5"/>
  <c r="G34" i="5"/>
  <c r="M47" i="5"/>
  <c r="T23" i="5"/>
  <c r="N47" i="5" s="1"/>
  <c r="N49" i="5"/>
  <c r="F34" i="5"/>
  <c r="L36" i="5"/>
  <c r="C12" i="2" s="1"/>
  <c r="F45" i="5"/>
  <c r="D49" i="5"/>
  <c r="F40" i="5"/>
  <c r="F50" i="5"/>
  <c r="K49" i="5"/>
  <c r="L48" i="5"/>
  <c r="C19" i="2" s="1"/>
  <c r="M45" i="5"/>
  <c r="F47" i="5"/>
  <c r="G50" i="5"/>
  <c r="O49" i="5"/>
  <c r="D34" i="5"/>
  <c r="H34" i="5"/>
  <c r="E37" i="5"/>
  <c r="I37" i="5"/>
  <c r="J36" i="5"/>
  <c r="J48" i="5"/>
  <c r="M49" i="5"/>
  <c r="N36" i="5"/>
  <c r="N48" i="5"/>
  <c r="D50" i="5"/>
  <c r="E34" i="5"/>
  <c r="I34" i="5"/>
  <c r="E40" i="5"/>
  <c r="F49" i="5"/>
  <c r="K36" i="5"/>
  <c r="N37" i="5"/>
  <c r="O36" i="5"/>
  <c r="U16" i="5"/>
  <c r="O42" i="5" s="1"/>
  <c r="X22" i="5"/>
  <c r="V27" i="5"/>
  <c r="P38" i="5" s="1"/>
  <c r="W19" i="5"/>
  <c r="AA19" i="5"/>
  <c r="J66" i="5" s="1"/>
  <c r="E16" i="5"/>
  <c r="M16" i="5"/>
  <c r="M15" i="5" s="1"/>
  <c r="AA26" i="5"/>
  <c r="J70" i="5" s="1"/>
  <c r="Y14" i="5"/>
  <c r="AA22" i="5"/>
  <c r="Z27" i="5"/>
  <c r="P9" i="5"/>
  <c r="J35" i="5" s="1"/>
  <c r="D16" i="5"/>
  <c r="V14" i="5"/>
  <c r="D61" i="5" s="1"/>
  <c r="Z14" i="5"/>
  <c r="H9" i="5"/>
  <c r="H35" i="5" s="1"/>
  <c r="D9" i="5"/>
  <c r="D35" i="5" s="1"/>
  <c r="L9" i="5"/>
  <c r="P16" i="5"/>
  <c r="J42" i="5" s="1"/>
  <c r="Y19" i="5"/>
  <c r="S16" i="5"/>
  <c r="S15" i="5" s="1"/>
  <c r="M41" i="5" s="1"/>
  <c r="U9" i="5"/>
  <c r="O35" i="5" s="1"/>
  <c r="V19" i="5"/>
  <c r="Z19" i="5"/>
  <c r="O16" i="5"/>
  <c r="Z26" i="5"/>
  <c r="G16" i="5"/>
  <c r="G42" i="5" s="1"/>
  <c r="Y23" i="5"/>
  <c r="W27" i="5"/>
  <c r="G9" i="5"/>
  <c r="G35" i="5" s="1"/>
  <c r="W14" i="5"/>
  <c r="O9" i="5"/>
  <c r="AA14" i="5"/>
  <c r="K16" i="5"/>
  <c r="H16" i="5"/>
  <c r="H42" i="5" s="1"/>
  <c r="L16" i="5"/>
  <c r="T16" i="5"/>
  <c r="N42" i="5" s="1"/>
  <c r="Y22" i="5"/>
  <c r="Q16" i="5"/>
  <c r="K42" i="5" s="1"/>
  <c r="R23" i="5"/>
  <c r="I9" i="5"/>
  <c r="I35" i="5" s="1"/>
  <c r="M9" i="5"/>
  <c r="I16" i="5"/>
  <c r="I42" i="5" s="1"/>
  <c r="W9" i="5"/>
  <c r="V22" i="5"/>
  <c r="D67" i="5" s="1"/>
  <c r="K23" i="5"/>
  <c r="X14" i="5"/>
  <c r="X19" i="5"/>
  <c r="W22" i="5"/>
  <c r="G23" i="5"/>
  <c r="G47" i="5" s="1"/>
  <c r="X26" i="5"/>
  <c r="F70" i="5" s="1"/>
  <c r="AA27" i="5"/>
  <c r="Y26" i="5"/>
  <c r="Z9" i="5"/>
  <c r="F16" i="5"/>
  <c r="F42" i="5" s="1"/>
  <c r="J16" i="5"/>
  <c r="N16" i="5"/>
  <c r="R16" i="5"/>
  <c r="L42" i="5" s="1"/>
  <c r="Z22" i="5"/>
  <c r="O23" i="5"/>
  <c r="H23" i="5"/>
  <c r="H47" i="5" s="1"/>
  <c r="P23" i="5"/>
  <c r="J47" i="5" s="1"/>
  <c r="Y27" i="5"/>
  <c r="S39" i="5" s="1"/>
  <c r="C10" i="1" s="1"/>
  <c r="X27" i="5"/>
  <c r="R38" i="5" s="1"/>
  <c r="I9" i="12" l="1"/>
  <c r="I7" i="12"/>
  <c r="I8" i="12"/>
  <c r="F23" i="1"/>
  <c r="S37" i="9"/>
  <c r="T37" i="9"/>
  <c r="H58" i="9"/>
  <c r="M58" i="9"/>
  <c r="G58" i="9"/>
  <c r="L58" i="9"/>
  <c r="J67" i="5"/>
  <c r="J61" i="5"/>
  <c r="U38" i="5"/>
  <c r="C42" i="1" s="1"/>
  <c r="J71" i="5"/>
  <c r="B12" i="1"/>
  <c r="G44" i="1"/>
  <c r="C29" i="2"/>
  <c r="F29" i="2" s="1"/>
  <c r="F15" i="2"/>
  <c r="F16" i="2"/>
  <c r="Z23" i="5"/>
  <c r="T47" i="5" s="1"/>
  <c r="E17" i="2"/>
  <c r="E32" i="2"/>
  <c r="G29" i="1"/>
  <c r="G42" i="1"/>
  <c r="B42" i="1" s="1"/>
  <c r="G22" i="1"/>
  <c r="G41" i="1"/>
  <c r="B41" i="1" s="1"/>
  <c r="F17" i="2"/>
  <c r="F14" i="2"/>
  <c r="C31" i="2"/>
  <c r="F31" i="2" s="1"/>
  <c r="E15" i="2"/>
  <c r="G25" i="1"/>
  <c r="G28" i="1"/>
  <c r="E71" i="5"/>
  <c r="G23" i="1"/>
  <c r="G43" i="1"/>
  <c r="B43" i="1" s="1"/>
  <c r="G31" i="1"/>
  <c r="G30" i="1"/>
  <c r="G24" i="1"/>
  <c r="G27" i="1"/>
  <c r="G26" i="1"/>
  <c r="B32" i="1"/>
  <c r="D19" i="2"/>
  <c r="E19" i="2" s="1"/>
  <c r="C33" i="2"/>
  <c r="F33" i="2" s="1"/>
  <c r="D31" i="2"/>
  <c r="C45" i="2"/>
  <c r="E45" i="2" s="1"/>
  <c r="C34" i="2"/>
  <c r="D20" i="2"/>
  <c r="D13" i="2"/>
  <c r="E13" i="2" s="1"/>
  <c r="C27" i="2"/>
  <c r="F27" i="2" s="1"/>
  <c r="C38" i="2"/>
  <c r="D24" i="2"/>
  <c r="P44" i="5"/>
  <c r="C42" i="2"/>
  <c r="F42" i="2" s="1"/>
  <c r="D28" i="2"/>
  <c r="C43" i="2"/>
  <c r="D29" i="2"/>
  <c r="D25" i="2"/>
  <c r="C39" i="2"/>
  <c r="F39" i="2" s="1"/>
  <c r="D40" i="2"/>
  <c r="C13" i="3"/>
  <c r="D33" i="2"/>
  <c r="C47" i="2"/>
  <c r="E47" i="2" s="1"/>
  <c r="D11" i="2"/>
  <c r="E11" i="2" s="1"/>
  <c r="C25" i="2"/>
  <c r="F25" i="2" s="1"/>
  <c r="D30" i="2"/>
  <c r="C44" i="2"/>
  <c r="E44" i="2" s="1"/>
  <c r="D14" i="2"/>
  <c r="E14" i="2" s="1"/>
  <c r="C28" i="2"/>
  <c r="F28" i="2" s="1"/>
  <c r="D27" i="2"/>
  <c r="C41" i="2"/>
  <c r="F41" i="2" s="1"/>
  <c r="D26" i="2"/>
  <c r="C40" i="2"/>
  <c r="F40" i="2" s="1"/>
  <c r="C6" i="3"/>
  <c r="E6" i="3" s="1"/>
  <c r="D48" i="2"/>
  <c r="D34" i="2"/>
  <c r="C48" i="2"/>
  <c r="D12" i="2"/>
  <c r="E12" i="2" s="1"/>
  <c r="C26" i="2"/>
  <c r="F26" i="2" s="1"/>
  <c r="D10" i="2"/>
  <c r="C24" i="2"/>
  <c r="D39" i="2"/>
  <c r="C8" i="3"/>
  <c r="C10" i="3"/>
  <c r="D41" i="2"/>
  <c r="P43" i="5"/>
  <c r="C30" i="2"/>
  <c r="F30" i="2" s="1"/>
  <c r="D16" i="2"/>
  <c r="E16" i="2" s="1"/>
  <c r="F19" i="2"/>
  <c r="F30" i="1"/>
  <c r="F24" i="1"/>
  <c r="B8" i="1"/>
  <c r="C20" i="2"/>
  <c r="F25" i="1"/>
  <c r="Q44" i="5"/>
  <c r="F31" i="1"/>
  <c r="F22" i="1"/>
  <c r="F13" i="2"/>
  <c r="U43" i="5"/>
  <c r="C44" i="1" s="1"/>
  <c r="T43" i="5"/>
  <c r="C27" i="1" s="1"/>
  <c r="G39" i="1"/>
  <c r="B39" i="1" s="1"/>
  <c r="F27" i="1"/>
  <c r="G46" i="1"/>
  <c r="B46" i="1" s="1"/>
  <c r="F29" i="1"/>
  <c r="F28" i="1"/>
  <c r="G48" i="1"/>
  <c r="B48" i="1" s="1"/>
  <c r="F12" i="2"/>
  <c r="G45" i="1"/>
  <c r="B45" i="1" s="1"/>
  <c r="U44" i="5"/>
  <c r="C45" i="1" s="1"/>
  <c r="R43" i="5"/>
  <c r="R44" i="5"/>
  <c r="G47" i="1"/>
  <c r="B47" i="1" s="1"/>
  <c r="F26" i="1"/>
  <c r="G40" i="1"/>
  <c r="B40" i="1" s="1"/>
  <c r="S43" i="5"/>
  <c r="C11" i="1" s="1"/>
  <c r="T44" i="5"/>
  <c r="C28" i="1" s="1"/>
  <c r="S44" i="5"/>
  <c r="C12" i="1" s="1"/>
  <c r="Q43" i="5"/>
  <c r="B11" i="1"/>
  <c r="B10" i="1"/>
  <c r="B44" i="1"/>
  <c r="B6" i="1"/>
  <c r="B13" i="1"/>
  <c r="B7" i="1"/>
  <c r="B14" i="1"/>
  <c r="F50" i="1"/>
  <c r="B9" i="1"/>
  <c r="B15" i="1"/>
  <c r="G17" i="1"/>
  <c r="V9" i="5"/>
  <c r="H56" i="5" s="1"/>
  <c r="U15" i="5"/>
  <c r="O41" i="5" s="1"/>
  <c r="U39" i="5"/>
  <c r="C43" i="1" s="1"/>
  <c r="T39" i="5"/>
  <c r="C26" i="1" s="1"/>
  <c r="Q38" i="5"/>
  <c r="S38" i="5"/>
  <c r="T38" i="5"/>
  <c r="Q39" i="5"/>
  <c r="P39" i="5"/>
  <c r="F71" i="5"/>
  <c r="F67" i="5"/>
  <c r="Q34" i="5"/>
  <c r="R39" i="5"/>
  <c r="E66" i="5"/>
  <c r="T46" i="5"/>
  <c r="C29" i="1" s="1"/>
  <c r="H67" i="5"/>
  <c r="L67" i="5"/>
  <c r="B32" i="2" s="1"/>
  <c r="Q35" i="5"/>
  <c r="T49" i="5"/>
  <c r="C31" i="1" s="1"/>
  <c r="H70" i="5"/>
  <c r="L70" i="5"/>
  <c r="B34" i="2" s="1"/>
  <c r="B12" i="5"/>
  <c r="U48" i="5"/>
  <c r="I71" i="5"/>
  <c r="M71" i="5"/>
  <c r="B38" i="2" s="1"/>
  <c r="T34" i="5"/>
  <c r="C22" i="1" s="1"/>
  <c r="H71" i="5"/>
  <c r="L71" i="5"/>
  <c r="B24" i="2" s="1"/>
  <c r="P48" i="5"/>
  <c r="D71" i="5"/>
  <c r="U34" i="5"/>
  <c r="U37" i="5"/>
  <c r="Q37" i="5"/>
  <c r="S34" i="5"/>
  <c r="C6" i="1" s="1"/>
  <c r="K71" i="5"/>
  <c r="B10" i="2" s="1"/>
  <c r="G71" i="5"/>
  <c r="L68" i="5"/>
  <c r="K67" i="5"/>
  <c r="B18" i="2" s="1"/>
  <c r="G67" i="5"/>
  <c r="G70" i="5"/>
  <c r="K70" i="5"/>
  <c r="B20" i="2" s="1"/>
  <c r="Q46" i="5"/>
  <c r="E67" i="5"/>
  <c r="F61" i="5"/>
  <c r="U40" i="5"/>
  <c r="D12" i="3" s="1"/>
  <c r="F12" i="3" s="1"/>
  <c r="I61" i="5"/>
  <c r="I67" i="5"/>
  <c r="M67" i="5"/>
  <c r="B46" i="2" s="1"/>
  <c r="M70" i="5"/>
  <c r="B48" i="2" s="1"/>
  <c r="I70" i="5"/>
  <c r="Q49" i="5"/>
  <c r="R36" i="5"/>
  <c r="G61" i="5"/>
  <c r="K61" i="5"/>
  <c r="H66" i="5"/>
  <c r="L66" i="5"/>
  <c r="K66" i="5"/>
  <c r="M61" i="5"/>
  <c r="L61" i="5"/>
  <c r="M66" i="5"/>
  <c r="F17" i="1"/>
  <c r="Q40" i="5"/>
  <c r="E61" i="5"/>
  <c r="R45" i="5"/>
  <c r="F66" i="5"/>
  <c r="S45" i="5"/>
  <c r="G66" i="5"/>
  <c r="P45" i="5"/>
  <c r="D66" i="5"/>
  <c r="T40" i="5"/>
  <c r="H61" i="5"/>
  <c r="I66" i="5"/>
  <c r="P46" i="5"/>
  <c r="D15" i="5"/>
  <c r="D41" i="5" s="1"/>
  <c r="D42" i="5"/>
  <c r="E15" i="5"/>
  <c r="E41" i="5" s="1"/>
  <c r="E42" i="5"/>
  <c r="R50" i="5"/>
  <c r="S49" i="5"/>
  <c r="C15" i="1" s="1"/>
  <c r="R49" i="5"/>
  <c r="R40" i="5"/>
  <c r="S47" i="5"/>
  <c r="U46" i="5"/>
  <c r="U49" i="5"/>
  <c r="U45" i="5"/>
  <c r="D11" i="3" s="1"/>
  <c r="F11" i="3" s="1"/>
  <c r="R37" i="5"/>
  <c r="S36" i="5"/>
  <c r="C7" i="1" s="1"/>
  <c r="T48" i="5"/>
  <c r="C30" i="1" s="1"/>
  <c r="T35" i="5"/>
  <c r="X23" i="5"/>
  <c r="L47" i="5"/>
  <c r="Q50" i="5"/>
  <c r="Q36" i="5"/>
  <c r="P40" i="5"/>
  <c r="S40" i="5"/>
  <c r="Q45" i="5"/>
  <c r="R46" i="5"/>
  <c r="S48" i="5"/>
  <c r="C14" i="1" s="1"/>
  <c r="Q48" i="5"/>
  <c r="S50" i="5"/>
  <c r="S37" i="5"/>
  <c r="C8" i="1" s="1"/>
  <c r="U50" i="5"/>
  <c r="U36" i="5"/>
  <c r="S46" i="5"/>
  <c r="C13" i="1" s="1"/>
  <c r="T45" i="5"/>
  <c r="Y16" i="5"/>
  <c r="M42" i="5"/>
  <c r="T50" i="5"/>
  <c r="T36" i="5"/>
  <c r="C23" i="1" s="1"/>
  <c r="P50" i="5"/>
  <c r="P49" i="5"/>
  <c r="P36" i="5"/>
  <c r="R48" i="5"/>
  <c r="P34" i="5"/>
  <c r="P37" i="5"/>
  <c r="T37" i="5"/>
  <c r="C24" i="1" s="1"/>
  <c r="R34" i="5"/>
  <c r="AA9" i="5"/>
  <c r="J56" i="5" s="1"/>
  <c r="Y15" i="5"/>
  <c r="X9" i="5"/>
  <c r="AA16" i="5"/>
  <c r="J63" i="5" s="1"/>
  <c r="S29" i="5"/>
  <c r="S30" i="5" s="1"/>
  <c r="X16" i="5"/>
  <c r="L15" i="5"/>
  <c r="Q15" i="5"/>
  <c r="K41" i="5" s="1"/>
  <c r="W16" i="5"/>
  <c r="T15" i="5"/>
  <c r="N41" i="5" s="1"/>
  <c r="I15" i="5"/>
  <c r="I41" i="5" s="1"/>
  <c r="AA23" i="5"/>
  <c r="O15" i="5"/>
  <c r="V16" i="5"/>
  <c r="J15" i="5"/>
  <c r="F15" i="5"/>
  <c r="F41" i="5" s="1"/>
  <c r="G15" i="5"/>
  <c r="G41" i="5" s="1"/>
  <c r="M29" i="5"/>
  <c r="M30" i="5" s="1"/>
  <c r="Y9" i="5"/>
  <c r="P15" i="5"/>
  <c r="J41" i="5" s="1"/>
  <c r="V23" i="5"/>
  <c r="Z16" i="5"/>
  <c r="N15" i="5"/>
  <c r="H15" i="5"/>
  <c r="H41" i="5" s="1"/>
  <c r="R15" i="5"/>
  <c r="L41" i="5" s="1"/>
  <c r="W23" i="5"/>
  <c r="K15" i="5"/>
  <c r="N23" i="3" l="1"/>
  <c r="N24" i="3"/>
  <c r="N22" i="3"/>
  <c r="O26" i="3"/>
  <c r="O25" i="3"/>
  <c r="O27" i="3"/>
  <c r="E7" i="3"/>
  <c r="H9" i="3"/>
  <c r="H8" i="3" s="1"/>
  <c r="H10" i="3"/>
  <c r="E8" i="3"/>
  <c r="J68" i="5"/>
  <c r="E29" i="2"/>
  <c r="B27" i="1"/>
  <c r="P35" i="5"/>
  <c r="B22" i="1"/>
  <c r="B30" i="1"/>
  <c r="E31" i="2"/>
  <c r="B29" i="1"/>
  <c r="B25" i="1"/>
  <c r="F47" i="2"/>
  <c r="E34" i="2"/>
  <c r="G33" i="1"/>
  <c r="B23" i="1"/>
  <c r="E33" i="2"/>
  <c r="B24" i="1"/>
  <c r="B31" i="1"/>
  <c r="B26" i="1"/>
  <c r="B28" i="1"/>
  <c r="E41" i="2"/>
  <c r="E30" i="2"/>
  <c r="E26" i="2"/>
  <c r="F45" i="2"/>
  <c r="F44" i="2"/>
  <c r="C49" i="2"/>
  <c r="E28" i="2"/>
  <c r="E25" i="2"/>
  <c r="D35" i="2"/>
  <c r="C46" i="1"/>
  <c r="D9" i="3"/>
  <c r="F9" i="3" s="1"/>
  <c r="U52" i="5"/>
  <c r="D8" i="3"/>
  <c r="D49" i="2"/>
  <c r="E39" i="2"/>
  <c r="E27" i="2"/>
  <c r="C35" i="2"/>
  <c r="E42" i="2"/>
  <c r="C40" i="1"/>
  <c r="D13" i="3"/>
  <c r="F13" i="3" s="1"/>
  <c r="C48" i="1"/>
  <c r="D6" i="3"/>
  <c r="F6" i="3" s="1"/>
  <c r="C41" i="1"/>
  <c r="D10" i="3"/>
  <c r="F10" i="3" s="1"/>
  <c r="C14" i="3"/>
  <c r="C47" i="1"/>
  <c r="D7" i="3"/>
  <c r="F7" i="3" s="1"/>
  <c r="E48" i="2"/>
  <c r="D21" i="2"/>
  <c r="E40" i="2"/>
  <c r="E43" i="2"/>
  <c r="F43" i="2"/>
  <c r="C21" i="2"/>
  <c r="E20" i="2"/>
  <c r="F20" i="2"/>
  <c r="D29" i="5"/>
  <c r="D30" i="5" s="1"/>
  <c r="F48" i="2"/>
  <c r="F46" i="2"/>
  <c r="F34" i="2"/>
  <c r="F32" i="2"/>
  <c r="B35" i="2"/>
  <c r="F18" i="2"/>
  <c r="B49" i="2"/>
  <c r="G50" i="1"/>
  <c r="F33" i="1"/>
  <c r="B21" i="2"/>
  <c r="C39" i="1"/>
  <c r="U51" i="5"/>
  <c r="C49" i="1" s="1"/>
  <c r="U29" i="5"/>
  <c r="U30" i="5" s="1"/>
  <c r="B17" i="1"/>
  <c r="C25" i="1"/>
  <c r="C33" i="1" s="1"/>
  <c r="T51" i="5"/>
  <c r="C32" i="1" s="1"/>
  <c r="S51" i="5"/>
  <c r="C16" i="1" s="1"/>
  <c r="C9" i="1"/>
  <c r="E56" i="5"/>
  <c r="D56" i="5"/>
  <c r="E63" i="5"/>
  <c r="E29" i="5"/>
  <c r="E30" i="5" s="1"/>
  <c r="M63" i="5"/>
  <c r="I63" i="5"/>
  <c r="U35" i="5"/>
  <c r="M56" i="5"/>
  <c r="I56" i="5"/>
  <c r="K68" i="5"/>
  <c r="Q47" i="5"/>
  <c r="E68" i="5"/>
  <c r="T42" i="5"/>
  <c r="H63" i="5"/>
  <c r="L63" i="5"/>
  <c r="S35" i="5"/>
  <c r="G56" i="5"/>
  <c r="K56" i="5"/>
  <c r="U47" i="5"/>
  <c r="M68" i="5"/>
  <c r="I68" i="5"/>
  <c r="R35" i="5"/>
  <c r="F56" i="5"/>
  <c r="R47" i="5"/>
  <c r="F68" i="5"/>
  <c r="P47" i="5"/>
  <c r="D68" i="5"/>
  <c r="P42" i="5"/>
  <c r="D63" i="5"/>
  <c r="F63" i="5"/>
  <c r="S42" i="5"/>
  <c r="G63" i="5"/>
  <c r="K63" i="5"/>
  <c r="H68" i="5"/>
  <c r="B13" i="5"/>
  <c r="G68" i="5"/>
  <c r="L56" i="5"/>
  <c r="Q42" i="5"/>
  <c r="U42" i="5"/>
  <c r="S41" i="5"/>
  <c r="R42" i="5"/>
  <c r="I29" i="5"/>
  <c r="I30" i="5" s="1"/>
  <c r="Q29" i="5"/>
  <c r="Q30" i="5" s="1"/>
  <c r="T29" i="5"/>
  <c r="T30" i="5" s="1"/>
  <c r="L29" i="5"/>
  <c r="L30" i="5" s="1"/>
  <c r="G29" i="5"/>
  <c r="G30" i="5" s="1"/>
  <c r="F29" i="5"/>
  <c r="F30" i="5" s="1"/>
  <c r="AA15" i="5"/>
  <c r="O29" i="5"/>
  <c r="O30" i="5" s="1"/>
  <c r="W15" i="5"/>
  <c r="K29" i="5"/>
  <c r="K30" i="5" s="1"/>
  <c r="X15" i="5"/>
  <c r="K62" i="5" s="1"/>
  <c r="R29" i="5"/>
  <c r="R30" i="5" s="1"/>
  <c r="Z15" i="5"/>
  <c r="N29" i="5"/>
  <c r="N30" i="5" s="1"/>
  <c r="V15" i="5"/>
  <c r="J29" i="5"/>
  <c r="J30" i="5" s="1"/>
  <c r="H29" i="5"/>
  <c r="H30" i="5" s="1"/>
  <c r="P29" i="5"/>
  <c r="P30" i="5" s="1"/>
  <c r="M19" i="3" l="1"/>
  <c r="M21" i="3"/>
  <c r="M20" i="3"/>
  <c r="E9" i="3"/>
  <c r="H15" i="3"/>
  <c r="H16" i="3"/>
  <c r="H13" i="3"/>
  <c r="H12" i="3"/>
  <c r="J12" i="3"/>
  <c r="J10" i="3"/>
  <c r="J11" i="3"/>
  <c r="L17" i="3"/>
  <c r="L18" i="3"/>
  <c r="L16" i="3"/>
  <c r="P30" i="3"/>
  <c r="P28" i="3"/>
  <c r="P29" i="3"/>
  <c r="I8" i="3"/>
  <c r="I7" i="3"/>
  <c r="I9" i="3"/>
  <c r="H11" i="3"/>
  <c r="J62" i="5"/>
  <c r="C50" i="1"/>
  <c r="D14" i="3"/>
  <c r="F8" i="3"/>
  <c r="F49" i="2"/>
  <c r="F6" i="2" s="1"/>
  <c r="G6" i="2" s="1"/>
  <c r="F35" i="2"/>
  <c r="F5" i="2" s="1"/>
  <c r="G5" i="2" s="1"/>
  <c r="F21" i="2"/>
  <c r="F4" i="2" s="1"/>
  <c r="G4" i="2" s="1"/>
  <c r="C17" i="1"/>
  <c r="B14" i="5"/>
  <c r="B15" i="5" s="1"/>
  <c r="B16" i="5" s="1"/>
  <c r="B17" i="5" s="1"/>
  <c r="P41" i="5"/>
  <c r="D62" i="5"/>
  <c r="G62" i="5"/>
  <c r="R41" i="5"/>
  <c r="F62" i="5"/>
  <c r="U41" i="5"/>
  <c r="M62" i="5"/>
  <c r="I62" i="5"/>
  <c r="T41" i="5"/>
  <c r="L62" i="5"/>
  <c r="H62" i="5"/>
  <c r="Q41" i="5"/>
  <c r="E62" i="5"/>
  <c r="K15" i="3" l="1"/>
  <c r="K14" i="3"/>
  <c r="K13" i="3"/>
  <c r="E10" i="3"/>
  <c r="H19" i="3"/>
  <c r="H18" i="3"/>
  <c r="H17" i="3" s="1"/>
  <c r="H14" i="3"/>
  <c r="B18" i="5"/>
  <c r="H20" i="3" l="1"/>
  <c r="E11" i="3"/>
  <c r="H22" i="3"/>
  <c r="H21" i="3"/>
  <c r="B19" i="5"/>
  <c r="B20" i="5" s="1"/>
  <c r="B21" i="5" s="1"/>
  <c r="B22" i="5" s="1"/>
  <c r="B23" i="5" s="1"/>
  <c r="B24" i="5" s="1"/>
  <c r="B25" i="5" s="1"/>
  <c r="H23" i="3" l="1"/>
  <c r="E12" i="3"/>
  <c r="H24" i="3"/>
  <c r="H25" i="3"/>
  <c r="B26" i="5"/>
  <c r="B27" i="5" s="1"/>
  <c r="H26" i="3" l="1"/>
  <c r="E13" i="3"/>
  <c r="H28" i="3"/>
  <c r="H27" i="3"/>
  <c r="E7" i="12"/>
  <c r="E8" i="12"/>
  <c r="E9" i="12"/>
  <c r="E10" i="12"/>
  <c r="E7" i="17"/>
  <c r="E8" i="17" s="1"/>
  <c r="H16" i="12" l="1"/>
  <c r="H15" i="12"/>
  <c r="H21" i="12"/>
  <c r="H22" i="12"/>
  <c r="H18" i="12"/>
  <c r="H19" i="12"/>
  <c r="H20" i="12" s="1"/>
  <c r="E11" i="12"/>
  <c r="H12" i="12"/>
  <c r="H11" i="12" s="1"/>
  <c r="H13" i="12"/>
  <c r="H30" i="3"/>
  <c r="H29" i="3" s="1"/>
  <c r="H31" i="3"/>
  <c r="H15" i="17"/>
  <c r="H16" i="17"/>
  <c r="H13" i="17"/>
  <c r="H12" i="17"/>
  <c r="H11" i="17" s="1"/>
  <c r="E9" i="17"/>
  <c r="H24" i="12" l="1"/>
  <c r="H23" i="12" s="1"/>
  <c r="H25" i="12"/>
  <c r="E12" i="12"/>
  <c r="H14" i="12"/>
  <c r="H17" i="12"/>
  <c r="H18" i="17"/>
  <c r="H19" i="17"/>
  <c r="E10" i="17"/>
  <c r="H14" i="17"/>
  <c r="H17" i="17"/>
  <c r="H27" i="12" l="1"/>
  <c r="H26" i="12" s="1"/>
  <c r="H28" i="12"/>
  <c r="E13" i="12"/>
  <c r="H22" i="17"/>
  <c r="H21" i="17"/>
  <c r="H20" i="17" s="1"/>
  <c r="E11" i="17"/>
  <c r="H31" i="12" l="1"/>
  <c r="H30" i="12"/>
  <c r="H29" i="12" s="1"/>
  <c r="H24" i="17"/>
  <c r="H23" i="17" s="1"/>
  <c r="H25" i="17"/>
  <c r="E12" i="17"/>
  <c r="H28" i="17" l="1"/>
  <c r="H27" i="17"/>
  <c r="E13" i="17"/>
  <c r="H26" i="17"/>
  <c r="H31" i="17" l="1"/>
  <c r="H30" i="17"/>
  <c r="H29" i="17" s="1"/>
</calcChain>
</file>

<file path=xl/sharedStrings.xml><?xml version="1.0" encoding="utf-8"?>
<sst xmlns="http://schemas.openxmlformats.org/spreadsheetml/2006/main" count="1426" uniqueCount="326">
  <si>
    <t>Click ▼ above to select variable to view from drop-down list</t>
  </si>
  <si>
    <t>Note: All grey-shaded cells calculate automatically</t>
  </si>
  <si>
    <t>Sector</t>
  </si>
  <si>
    <t>Gross value added at current basic prices (millions)</t>
  </si>
  <si>
    <t>Gross value added at constant 2005 prices (millions)</t>
  </si>
  <si>
    <t>Number of persons engaged (thousands)</t>
  </si>
  <si>
    <t>Labour productivity (= constant VA per person engaged)</t>
  </si>
  <si>
    <t>1975</t>
  </si>
  <si>
    <t>1990</t>
  </si>
  <si>
    <t>2010</t>
  </si>
  <si>
    <t xml:space="preserve">Rel. product-ivity level </t>
  </si>
  <si>
    <t>1990-2000</t>
  </si>
  <si>
    <t>2000-05</t>
  </si>
  <si>
    <t>2005-10</t>
  </si>
  <si>
    <t>Agriculture</t>
  </si>
  <si>
    <t>ASD</t>
  </si>
  <si>
    <t>x</t>
  </si>
  <si>
    <t>Industry</t>
  </si>
  <si>
    <t>Sum</t>
  </si>
  <si>
    <t>Mining</t>
  </si>
  <si>
    <t>Manufacturing</t>
  </si>
  <si>
    <t>Utilities</t>
  </si>
  <si>
    <t>Construction</t>
  </si>
  <si>
    <t>Services</t>
  </si>
  <si>
    <t>Market services</t>
  </si>
  <si>
    <t>Trade services</t>
  </si>
  <si>
    <t>Transport services</t>
  </si>
  <si>
    <t>Distribution services</t>
  </si>
  <si>
    <t>Business services (inc. dwellings)</t>
  </si>
  <si>
    <t>n/a</t>
  </si>
  <si>
    <t>Dwellings</t>
  </si>
  <si>
    <t>Fin. &amp; bus. services (exc. dwellings)</t>
  </si>
  <si>
    <t>Non-market services</t>
  </si>
  <si>
    <t>Government services</t>
  </si>
  <si>
    <t>Personal services</t>
  </si>
  <si>
    <t>Other services</t>
  </si>
  <si>
    <t>Total economy (exc. dwellings)</t>
  </si>
  <si>
    <t>Total economy</t>
  </si>
  <si>
    <t>Total check</t>
  </si>
  <si>
    <t>Relative productivity and changes in employment</t>
  </si>
  <si>
    <t>Annualised growth</t>
  </si>
  <si>
    <t>Row</t>
  </si>
  <si>
    <t xml:space="preserve">PP Change in share of persons engaged </t>
  </si>
  <si>
    <t>Number of persons engaged</t>
  </si>
  <si>
    <t>Sectoral share of persons engaged</t>
  </si>
  <si>
    <t>2000</t>
  </si>
  <si>
    <t>Business services</t>
  </si>
  <si>
    <t>Govt services</t>
  </si>
  <si>
    <t>Total Economy</t>
  </si>
  <si>
    <t>Check totals</t>
  </si>
  <si>
    <t>Decomposition of labour productivity change</t>
  </si>
  <si>
    <t>Annualised growth in labour prod.</t>
  </si>
  <si>
    <t>Sector share in total employment</t>
  </si>
  <si>
    <t>Change in sector share in total employment</t>
  </si>
  <si>
    <t>Within sector</t>
  </si>
  <si>
    <t>Structural change</t>
  </si>
  <si>
    <t>2000-1990</t>
  </si>
  <si>
    <t>Check</t>
  </si>
  <si>
    <t>2005-00</t>
  </si>
  <si>
    <t>2010-05</t>
  </si>
  <si>
    <t>Other non market services</t>
  </si>
  <si>
    <t>Other industry</t>
  </si>
  <si>
    <t>1960</t>
  </si>
  <si>
    <t>Finance and business services</t>
  </si>
  <si>
    <t>Labour productivity levels (index, 1966=100)</t>
  </si>
  <si>
    <t>2000–05</t>
  </si>
  <si>
    <t>2005–10</t>
  </si>
  <si>
    <t>1990– 2000</t>
  </si>
  <si>
    <t>No. of years minus 1</t>
  </si>
  <si>
    <t>Table 2</t>
  </si>
  <si>
    <t>Sectoral shares</t>
  </si>
  <si>
    <t>Labour productivity levels and changes</t>
  </si>
  <si>
    <t/>
  </si>
  <si>
    <t>Table 1 (filter on x in Col. C)</t>
  </si>
  <si>
    <t>Gross value added at current basic prices (%)</t>
  </si>
  <si>
    <t>Number of persons engaged (%)</t>
  </si>
  <si>
    <t>Relative productivity levels (labour productivity as ratio of Labour Productivity Total Economy (exc. dwellings))</t>
  </si>
  <si>
    <t>Total for individual sectors</t>
  </si>
  <si>
    <t>Check for relative productivity cf employment</t>
  </si>
  <si>
    <t>Check for productivity gaps</t>
  </si>
  <si>
    <t>Labour share 2010</t>
  </si>
  <si>
    <t>Productivity gaps 2010</t>
  </si>
  <si>
    <t>Relative productivity 2010</t>
  </si>
  <si>
    <t>Original order</t>
  </si>
  <si>
    <t>Cumulation of C/100</t>
  </si>
  <si>
    <t>Source/to tables (x)</t>
  </si>
  <si>
    <t>1960– 2010</t>
  </si>
  <si>
    <t>NIGERIA</t>
  </si>
  <si>
    <t>Sectoral employment by sex</t>
  </si>
  <si>
    <t>c</t>
  </si>
  <si>
    <t>Country name</t>
  </si>
  <si>
    <t>Sector name</t>
  </si>
  <si>
    <t>EMP_M</t>
  </si>
  <si>
    <t>EMP_F</t>
  </si>
  <si>
    <t>Total employment by sex and sector</t>
  </si>
  <si>
    <t>Source:</t>
  </si>
  <si>
    <t>ILO Global Employment Trends 2014 supporting datasets (Share of employment by sector and sex), 23.12.2014</t>
  </si>
  <si>
    <t>http://www.ilo.org/global/research/global-reports/global-employment-trends/2014/WCMS_234879/lang--en/index.htm</t>
  </si>
  <si>
    <t>NB:</t>
  </si>
  <si>
    <t>The ILO total sectoral employment shares are not necessarily the same as (or even particularly close to) those obtained from the WB's WDI (which are not broken down by sex) used in the previous analysis in this workbook.</t>
  </si>
  <si>
    <t>Male</t>
  </si>
  <si>
    <t>Female</t>
  </si>
  <si>
    <t>Nigeria</t>
  </si>
  <si>
    <t>Percentage of workers (age 25+) in agriculture</t>
  </si>
  <si>
    <t xml:space="preserve">McMillan &amp; Harttgen (2014) </t>
  </si>
  <si>
    <t>http://www.nber.org/papers/w20077</t>
  </si>
  <si>
    <t>1990s</t>
  </si>
  <si>
    <t>Combined</t>
  </si>
  <si>
    <t>2006-12</t>
  </si>
  <si>
    <t>Finance, insurance, real estate and business services</t>
  </si>
  <si>
    <t>Labour productivity levels (index, 1960=100)</t>
  </si>
  <si>
    <t>Outlier</t>
  </si>
  <si>
    <t>10-sector DB</t>
  </si>
  <si>
    <t>Total</t>
  </si>
  <si>
    <t>Government executive official – central</t>
  </si>
  <si>
    <t>Automobile mechanic</t>
  </si>
  <si>
    <t>Ambulance driver</t>
  </si>
  <si>
    <t>Medical X-ray technician</t>
  </si>
  <si>
    <t>Physiotherapist</t>
  </si>
  <si>
    <t>Auxiliary nurse</t>
  </si>
  <si>
    <t>Professional nurse (general)</t>
  </si>
  <si>
    <t>Dentist (general)</t>
  </si>
  <si>
    <t>General physician</t>
  </si>
  <si>
    <t xml:space="preserve">     </t>
  </si>
  <si>
    <t>Teacher in languages and literature (third level)</t>
  </si>
  <si>
    <t>Mathematics teacher (third level)</t>
  </si>
  <si>
    <t>Refuse collector</t>
  </si>
  <si>
    <t>Office clerk</t>
  </si>
  <si>
    <t>Clerk of works</t>
  </si>
  <si>
    <t>Insurance agent</t>
  </si>
  <si>
    <t>Card- and tape-punching- machine operator</t>
  </si>
  <si>
    <t>Stenographer-typist</t>
  </si>
  <si>
    <t>Computer programmer</t>
  </si>
  <si>
    <t>Book-keeping machine operator</t>
  </si>
  <si>
    <t>Bank teller</t>
  </si>
  <si>
    <t>Accountant</t>
  </si>
  <si>
    <t>Telephone switchboard operator</t>
  </si>
  <si>
    <t>Postman</t>
  </si>
  <si>
    <t>Post office counter clerk</t>
  </si>
  <si>
    <t>Aircraft accident fire-fighter</t>
  </si>
  <si>
    <t>Air traffic controller</t>
  </si>
  <si>
    <t>Aircraft loader</t>
  </si>
  <si>
    <t>Aircraft engine mechanic</t>
  </si>
  <si>
    <t>Aircraft cabin attendant</t>
  </si>
  <si>
    <t>Flight operations officer</t>
  </si>
  <si>
    <t>Air transport pilot</t>
  </si>
  <si>
    <t>Able seaman</t>
  </si>
  <si>
    <t>Ship's steward (passenger)</t>
  </si>
  <si>
    <t>Ship's chief engineer</t>
  </si>
  <si>
    <t>Long-distance motor truck driver</t>
  </si>
  <si>
    <t>Urban motor truck driver</t>
  </si>
  <si>
    <t>Motor bus driver</t>
  </si>
  <si>
    <t>Bus conductor</t>
  </si>
  <si>
    <t>Road transport services supervisor</t>
  </si>
  <si>
    <t>Railway signalman</t>
  </si>
  <si>
    <t>Railway steam-engine fireman</t>
  </si>
  <si>
    <t>Railway engine-driver</t>
  </si>
  <si>
    <t>Railway vehicle loader</t>
  </si>
  <si>
    <t>Railway passenger train guard</t>
  </si>
  <si>
    <t>Railway services supervisor</t>
  </si>
  <si>
    <t>Ticket seller (cash desk cashier)</t>
  </si>
  <si>
    <t>Room attendant or chambermaid</t>
  </si>
  <si>
    <t>Waiter</t>
  </si>
  <si>
    <t>Cook</t>
  </si>
  <si>
    <t>Hotel receptionist</t>
  </si>
  <si>
    <t>Salesperson</t>
  </si>
  <si>
    <t>Cash desk cashier</t>
  </si>
  <si>
    <t>Book-keeper</t>
  </si>
  <si>
    <t>Stock records clerk</t>
  </si>
  <si>
    <t>Labourer</t>
  </si>
  <si>
    <t>Plasterer</t>
  </si>
  <si>
    <t>Construction carpenter</t>
  </si>
  <si>
    <t>Cement finisher</t>
  </si>
  <si>
    <t>Reinforced concreter</t>
  </si>
  <si>
    <t>Bricklayer (construction)</t>
  </si>
  <si>
    <t>Building painter</t>
  </si>
  <si>
    <t>Constructional steel erector</t>
  </si>
  <si>
    <t>Plumber</t>
  </si>
  <si>
    <t>Building electrician</t>
  </si>
  <si>
    <t>Power-generating machinery operator</t>
  </si>
  <si>
    <t>Electric power lineman</t>
  </si>
  <si>
    <t>Electronic equipment assembler</t>
  </si>
  <si>
    <t>Electronics fitter</t>
  </si>
  <si>
    <t>Electronics engineering technician</t>
  </si>
  <si>
    <t>Machinery fitter-assembler</t>
  </si>
  <si>
    <t>Bench moulder (metal)</t>
  </si>
  <si>
    <t>Welder</t>
  </si>
  <si>
    <t>Metalworking machine setter</t>
  </si>
  <si>
    <t>Metal melter</t>
  </si>
  <si>
    <t>Hot-roller (steel)</t>
  </si>
  <si>
    <t>Blast furnaceman (ore smelting)</t>
  </si>
  <si>
    <t>Occupational health nurse</t>
  </si>
  <si>
    <t>Packer</t>
  </si>
  <si>
    <t>Mixing- and blending-machine operator</t>
  </si>
  <si>
    <t>Supervisor or general foreman</t>
  </si>
  <si>
    <t>Chemistry technician</t>
  </si>
  <si>
    <t>Chemical engineer</t>
  </si>
  <si>
    <t>Bookbinder (machine)</t>
  </si>
  <si>
    <t>Printing pressman</t>
  </si>
  <si>
    <t>Machine compositor</t>
  </si>
  <si>
    <t>Hand compositor</t>
  </si>
  <si>
    <t>Journalist</t>
  </si>
  <si>
    <t>Paper-making-machine operator (wet end)</t>
  </si>
  <si>
    <t>Wood grinder</t>
  </si>
  <si>
    <t>Wooden furniture finisher</t>
  </si>
  <si>
    <t>Cabinetmaker</t>
  </si>
  <si>
    <t>Furniture upholsterer</t>
  </si>
  <si>
    <t>Plywood press operator</t>
  </si>
  <si>
    <t>Veneer cutter</t>
  </si>
  <si>
    <t>Sawmill sawyer</t>
  </si>
  <si>
    <t>Shoe sewer (machine)</t>
  </si>
  <si>
    <t>Laster</t>
  </si>
  <si>
    <t>Clicker cutter (machine)</t>
  </si>
  <si>
    <t>Sewing-machine operator</t>
  </si>
  <si>
    <t>Garment cutter</t>
  </si>
  <si>
    <t>Cloth weaver (machine)</t>
  </si>
  <si>
    <t>Loom fixer, tuner</t>
  </si>
  <si>
    <t>Thread and yarn spinner</t>
  </si>
  <si>
    <t>Baker (ovenman)</t>
  </si>
  <si>
    <t>Grain miller</t>
  </si>
  <si>
    <t>Dairy product processor</t>
  </si>
  <si>
    <t>Butcher</t>
  </si>
  <si>
    <t>Quarryman</t>
  </si>
  <si>
    <t>Miner</t>
  </si>
  <si>
    <t>Derrickman</t>
  </si>
  <si>
    <t>Petroleum and natural gas extraction technician</t>
  </si>
  <si>
    <t>Inshore (coastal) maritime fisherman</t>
  </si>
  <si>
    <t>Deep-sea fisherman</t>
  </si>
  <si>
    <t>Forestry worker</t>
  </si>
  <si>
    <t>Forest supervisor</t>
  </si>
  <si>
    <t>Plantation worker</t>
  </si>
  <si>
    <t>Plantation supervisor</t>
  </si>
  <si>
    <t>Field crop farm worker</t>
  </si>
  <si>
    <t>Farm supervisor</t>
  </si>
  <si>
    <t>Description</t>
  </si>
  <si>
    <t>Code</t>
  </si>
  <si>
    <t>http://www.nber.org/oww/</t>
  </si>
  <si>
    <t>ILO (adjusted: Oostendorp, 2012) (stata variable mw3wuus), see</t>
  </si>
  <si>
    <t>B*C</t>
  </si>
  <si>
    <t>Gross value added at constant 2010 prices (millions)</t>
  </si>
  <si>
    <t>Labour productivity levels (index, 2010=100)</t>
  </si>
  <si>
    <t>2010-11</t>
  </si>
  <si>
    <t>Relative productivity levels (labour productivity as ratio of Labour Productivity Total Economy)</t>
  </si>
  <si>
    <t>Labels</t>
  </si>
  <si>
    <t>Productivity gaps 2011</t>
  </si>
  <si>
    <t>Labour share 2011</t>
  </si>
  <si>
    <t>Relative productivity 2011</t>
  </si>
  <si>
    <t>Dummy</t>
  </si>
  <si>
    <t>Last updated:</t>
  </si>
  <si>
    <t>By:</t>
  </si>
  <si>
    <t>23 Jan. 2015</t>
  </si>
  <si>
    <t>JK</t>
  </si>
  <si>
    <t>Addition of economic structures analyses using alternative data in 10-Sector DB including rebasing.</t>
  </si>
  <si>
    <t>Histograms added to 3 productivity gap pages</t>
  </si>
  <si>
    <t>NON-TRADE DATA:</t>
  </si>
  <si>
    <t>Note on change made:</t>
  </si>
  <si>
    <t>10 Feb. 2015</t>
  </si>
  <si>
    <t>Recalculation of decomposition of labour productivity change (x3)</t>
  </si>
  <si>
    <t>27 May 2015</t>
  </si>
  <si>
    <t>Amendment to description of wages data</t>
  </si>
  <si>
    <t>Relative monthly wages by occupation in US$</t>
  </si>
  <si>
    <t>- occupational wages compared to country average for each year.</t>
  </si>
  <si>
    <t>21.7.2015</t>
  </si>
  <si>
    <t>Source: GGDC Africa Sector Database, October 2014.</t>
  </si>
  <si>
    <t>Source: see page 'GVA-productivity1'</t>
  </si>
  <si>
    <r>
      <t xml:space="preserve">Sort </t>
    </r>
    <r>
      <rPr>
        <sz val="9"/>
        <color rgb="FFFF0000"/>
        <rFont val="Arial"/>
        <family val="2"/>
      </rPr>
      <t>▲</t>
    </r>
  </si>
  <si>
    <t>Source: GCCD 10-Sector Database</t>
  </si>
  <si>
    <t>Source: see page 'GVA-productivity2'</t>
  </si>
  <si>
    <t>Source: GCCD 10-Sector Database, using alternative figures for rebasing</t>
  </si>
  <si>
    <t>Source: see page 'GVA-productivity3'</t>
  </si>
  <si>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</si>
  <si>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</si>
  <si>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</si>
  <si>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</si>
  <si>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</si>
  <si>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</si>
  <si>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</si>
  <si>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</si>
  <si>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</si>
  <si>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There are no UN notes for Nigeria on sectoral composition.</t>
  </si>
  <si>
    <t>ISIC Section Q (extraterritorial organization and bodies) IS NOT included</t>
  </si>
  <si>
    <t>Employment data (based on ISIC Rev. 4):</t>
  </si>
  <si>
    <t>The employment data have been aggregated (according to correlated ISIC Section) from the 14 sectors available in the ILO WESO dataset to the 7 for which GVA data are available from UNdata.</t>
  </si>
  <si>
    <t>ISIC Section U (extraterritorial organization and bodies) IS included (under 'Other activities').</t>
  </si>
  <si>
    <t>Economic activity</t>
  </si>
  <si>
    <t>Gross value added (current US$ thousands)</t>
  </si>
  <si>
    <t>Gross value added (current, %)</t>
  </si>
  <si>
    <t>https://data.un.org/</t>
  </si>
  <si>
    <t>Own calcs.</t>
  </si>
  <si>
    <t xml:space="preserve">Mining &amp; utilities </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</si>
  <si>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</si>
  <si>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</si>
  <si>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</si>
  <si>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</si>
  <si>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</si>
  <si>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</si>
  <si>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</si>
  <si>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</si>
  <si>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</si>
  <si>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</si>
  <si>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</si>
  <si>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</si>
  <si>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</si>
  <si>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</si>
  <si>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</si>
  <si>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</si>
  <si>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</si>
  <si>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1991-2000</t>
  </si>
  <si>
    <t>2010-13</t>
  </si>
  <si>
    <t>Check:</t>
  </si>
  <si>
    <t>Size of bubbles represents number of persons engaged in each sector in the later year of each of the periods.</t>
  </si>
  <si>
    <t>PP change in employ-ment</t>
  </si>
  <si>
    <t>Employment (thousands)</t>
  </si>
  <si>
    <t>Sectoral employment share</t>
  </si>
  <si>
    <t>1991</t>
  </si>
  <si>
    <t>Mining &amp; utilities</t>
  </si>
  <si>
    <t>Total of above</t>
  </si>
  <si>
    <t>2000-1991</t>
  </si>
  <si>
    <t>2013-10</t>
  </si>
  <si>
    <t>Productivity gaps 2013</t>
  </si>
  <si>
    <t>Employment share 2013</t>
  </si>
  <si>
    <t>Relative productivity 2013</t>
  </si>
  <si>
    <t>Cumulation of employment share</t>
  </si>
  <si>
    <t>Mining and utilities</t>
  </si>
  <si>
    <t>Source: see page 'GVA-productivity4'</t>
  </si>
  <si>
    <t>Addition of labour productivity/sectoral employment analyses based on UN/ILO data (5 pages, starting page 'GVA-productivity4')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</si>
</sst>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0_ ;\-#,##0\ "/>
    <numFmt numFmtId="165" formatCode="#,##0.0"/>
    <numFmt numFmtId="166" formatCode="0.0%"/>
    <numFmt numFmtId="167" formatCode="0.0"/>
    <numFmt numFmtId="168" formatCode="_-* #,##0_-;\-* #,##0_-;_-* &quot;-&quot;??_-;_-@_-"/>
    <numFmt numFmtId="169" formatCode="_ * #,##0.00_ ;_ * \-#,##0.00_ ;_ * &quot;-&quot;??_ ;_ @_ "/>
    <numFmt numFmtId="170" formatCode="#,##0.000"/>
    <numFmt numFmtId="171" formatCode="0.00000"/>
    <numFmt numFmtId="177" formatCode="_-* #,##0.0_-;\-* #,##0.0_-;_-* &quot;-&quot;??_-;_-@_-"/>
    <numFmt numFmtId="178" formatCode="#,##0.0_ ;\-#,##0.0\ "/>
  </numFmts>
  <fonts count="65" x14ac:knownFonts="1">
    <font>
      <sz val="9"/>
      <color theme="1"/>
      <name val="Calibri"/>
      <family val="2"/>
    </font>
    <font>
      <sz val="9"/>
      <color theme="1"/>
      <name val="Calibri"/>
      <family val="2"/>
    </font>
    <font>
      <b/>
      <sz val="9"/>
      <color theme="1"/>
      <name val="Calibri"/>
      <family val="2"/>
    </font>
    <font>
      <sz val="10"/>
      <color theme="1"/>
      <name val="Arial"/>
      <family val="2"/>
    </font>
    <font>
      <sz val="9"/>
      <color rgb="FFFF0000"/>
      <name val="Calibri"/>
      <family val="2"/>
      <scheme val="minor"/>
    </font>
    <font>
      <u/>
      <sz val="11"/>
      <color rgb="FFFF0000"/>
      <name val="Calibri"/>
      <family val="2"/>
      <scheme val="minor"/>
    </font>
    <font>
      <b/>
      <u/>
      <sz val="11"/>
      <color theme="4"/>
      <name val="Calibri"/>
      <family val="2"/>
      <scheme val="minor"/>
    </font>
    <font>
      <sz val="9"/>
      <color theme="1"/>
      <name val="Calibri"/>
      <family val="2"/>
      <scheme val="minor"/>
    </font>
    <font>
      <sz val="9"/>
      <color theme="4"/>
      <name val="Calibri"/>
      <family val="2"/>
      <scheme val="minor"/>
    </font>
    <font>
      <b/>
      <u/>
      <sz val="11"/>
      <name val="Calibri"/>
      <family val="2"/>
      <scheme val="minor"/>
    </font>
    <font>
      <b/>
      <sz val="9"/>
      <color theme="1"/>
      <name val="Calibri"/>
      <family val="2"/>
      <scheme val="minor"/>
    </font>
    <font>
      <b/>
      <sz val="9"/>
      <color theme="4"/>
      <name val="Calibri"/>
      <family val="2"/>
      <scheme val="minor"/>
    </font>
    <font>
      <i/>
      <sz val="9"/>
      <color theme="1"/>
      <name val="Calibri"/>
      <family val="2"/>
      <scheme val="minor"/>
    </font>
    <font>
      <b/>
      <sz val="9"/>
      <name val="Calibri"/>
      <family val="2"/>
      <scheme val="minor"/>
    </font>
    <font>
      <sz val="9"/>
      <name val="Calibri"/>
      <family val="2"/>
      <scheme val="minor"/>
    </font>
    <font>
      <i/>
      <sz val="9"/>
      <name val="Calibri"/>
      <family val="2"/>
      <scheme val="minor"/>
    </font>
    <font>
      <i/>
      <sz val="9"/>
      <color theme="0" tint="-0.499984740745262"/>
      <name val="Calibri"/>
      <family val="2"/>
      <scheme val="minor"/>
    </font>
    <font>
      <sz val="9"/>
      <color theme="0" tint="-0.499984740745262"/>
      <name val="Calibri"/>
      <family val="2"/>
      <scheme val="minor"/>
    </font>
    <font>
      <i/>
      <sz val="9"/>
      <color rgb="FFFF0000"/>
      <name val="Calibri"/>
      <family val="2"/>
      <scheme val="minor"/>
    </font>
    <font>
      <i/>
      <sz val="9"/>
      <color theme="4"/>
      <name val="Calibri"/>
      <family val="2"/>
      <scheme val="minor"/>
    </font>
    <font>
      <b/>
      <u/>
      <sz val="11"/>
      <color rgb="FFFF0000"/>
      <name val="Calibri"/>
      <family val="2"/>
      <scheme val="minor"/>
    </font>
    <font>
      <u/>
      <sz val="9"/>
      <color theme="1"/>
      <name val="Calibri"/>
      <family val="2"/>
      <scheme val="minor"/>
    </font>
    <font>
      <b/>
      <sz val="8"/>
      <color theme="1"/>
      <name val="Calibri"/>
      <family val="2"/>
      <scheme val="minor"/>
    </font>
    <font>
      <b/>
      <sz val="9"/>
      <color rgb="FFFF0000"/>
      <name val="Calibri"/>
      <family val="2"/>
      <scheme val="minor"/>
    </font>
    <font>
      <sz val="9"/>
      <color rgb="FFFF0000"/>
      <name val="Arial"/>
      <family val="2"/>
    </font>
    <font>
      <sz val="10"/>
      <name val="MS Sans Serif"/>
      <family val="2"/>
    </font>
    <font>
      <b/>
      <sz val="8.5"/>
      <color theme="1"/>
      <name val="Arial"/>
      <family val="2"/>
    </font>
    <font>
      <i/>
      <sz val="9"/>
      <color rgb="FF000000"/>
      <name val="Calibri"/>
      <family val="2"/>
      <scheme val="minor"/>
    </font>
    <font>
      <sz val="9"/>
      <color rgb="FF000000"/>
      <name val="Calibri"/>
      <family val="2"/>
      <scheme val="minor"/>
    </font>
    <font>
      <b/>
      <sz val="9"/>
      <color rgb="FF000000"/>
      <name val="Calibri"/>
      <family val="2"/>
      <scheme val="minor"/>
    </font>
    <font>
      <b/>
      <sz val="11"/>
      <color theme="1"/>
      <name val="Calibri"/>
      <family val="2"/>
      <scheme val="minor"/>
    </font>
    <font>
      <b/>
      <i/>
      <sz val="8"/>
      <name val="Calibri"/>
      <family val="2"/>
      <scheme val="minor"/>
    </font>
    <font>
      <b/>
      <sz val="9"/>
      <color rgb="FFFF0000"/>
      <name val="Calibri"/>
      <family val="2"/>
    </font>
    <font>
      <sz val="9"/>
      <color rgb="FFFF0000"/>
      <name val="Calibri"/>
      <family val="2"/>
    </font>
    <font>
      <b/>
      <u/>
      <sz val="11"/>
      <color theme="1"/>
      <name val="Calibri"/>
      <family val="2"/>
    </font>
    <font>
      <b/>
      <sz val="9"/>
      <color theme="0"/>
      <name val="Calibri"/>
      <family val="2"/>
      <scheme val="minor"/>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color theme="3" tint="-0.499984740745262"/>
      <name val="Calibri"/>
      <family val="2"/>
      <scheme val="minor"/>
    </font>
    <font>
      <sz val="11"/>
      <color theme="1"/>
      <name val="Calibri"/>
      <family val="2"/>
      <scheme val="minor"/>
    </font>
    <font>
      <sz val="9"/>
      <name val="Calibri"/>
      <family val="2"/>
    </font>
    <font>
      <b/>
      <sz val="9"/>
      <name val="Calibri"/>
      <family val="2"/>
    </font>
    <font>
      <u/>
      <sz val="11"/>
      <color rgb="FFFF0000"/>
      <name val="Calibri"/>
      <family val="2"/>
    </font>
    <font>
      <b/>
      <u/>
      <sz val="11"/>
      <color rgb="FFFF0000"/>
      <name val="Calibri"/>
      <family val="2"/>
    </font>
    <font>
      <u/>
      <sz val="9"/>
      <color theme="10"/>
      <name val="Calibri"/>
      <family val="2"/>
    </font>
    <font>
      <b/>
      <u/>
      <sz val="9"/>
      <color theme="1"/>
      <name val="Calibri"/>
      <family val="2"/>
    </font>
    <font>
      <sz val="9"/>
      <color rgb="FF000000"/>
      <name val="Calibri"/>
      <family val="2"/>
    </font>
    <font>
      <b/>
      <u/>
      <sz val="11"/>
      <color rgb="FF000000"/>
      <name val="Calibri"/>
      <family val="2"/>
    </font>
    <font>
      <i/>
      <sz val="9"/>
      <color rgb="FF000000"/>
      <name val="Calibri"/>
      <family val="2"/>
    </font>
    <font>
      <i/>
      <sz val="9"/>
      <name val="Calibri"/>
      <family val="2"/>
    </font>
    <font>
      <u/>
      <sz val="9"/>
      <color theme="10"/>
      <name val="Calibri"/>
      <family val="2"/>
      <scheme val="minor"/>
    </font>
    <font>
      <b/>
      <sz val="9"/>
      <color theme="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sz val="9"/>
      <color theme="4"/>
      <name val="Calibri"/>
      <family val="2"/>
    </font>
    <font>
      <i/>
      <sz val="9"/>
      <color theme="4"/>
      <name val="Calibri"/>
      <family val="2"/>
    </font>
    <font>
      <b/>
      <sz val="9"/>
      <color theme="4"/>
      <name val="Calibri"/>
      <family val="2"/>
    </font>
    <font>
      <b/>
      <sz val="11"/>
      <color theme="4"/>
      <name val="Calibri"/>
      <family val="2"/>
      <scheme val="minor"/>
    </font>
    <font>
      <b/>
      <sz val="11"/>
      <color theme="0"/>
      <name val="Calibri"/>
      <family val="2"/>
      <scheme val="minor"/>
    </font>
    <font>
      <b/>
      <sz val="8"/>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theme="7" tint="0.79998168889431442"/>
        <bgColor indexed="64"/>
      </patternFill>
    </fill>
    <fill>
      <patternFill patternType="solid">
        <fgColor theme="4"/>
        <bgColor indexed="64"/>
      </patternFill>
    </fill>
    <fill>
      <patternFill patternType="solid">
        <fgColor rgb="FFFF0000"/>
        <bgColor indexed="64"/>
      </patternFill>
    </fill>
    <fill>
      <patternFill patternType="solid">
        <fgColor rgb="FFFFFF99"/>
        <bgColor indexed="64"/>
      </patternFill>
    </fill>
    <fill>
      <patternFill patternType="solid">
        <fgColor rgb="FFFFFFFF"/>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6C67"/>
        <bgColor indexed="64"/>
      </patternFill>
    </fill>
    <fill>
      <patternFill patternType="solid">
        <fgColor rgb="FFF7941E"/>
        <bgColor indexed="64"/>
      </patternFill>
    </fill>
    <fill>
      <patternFill patternType="solid">
        <fgColor theme="0"/>
        <bgColor indexed="64"/>
      </patternFill>
    </fill>
    <fill>
      <patternFill patternType="solid">
        <fgColor theme="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0">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5" fillId="0" borderId="0"/>
    <xf numFmtId="0" fontId="38" fillId="0" borderId="0" applyNumberFormat="0" applyFill="0" applyBorder="0" applyAlignment="0" applyProtection="0"/>
    <xf numFmtId="169" fontId="42" fillId="0" borderId="0" applyFont="0" applyFill="0" applyBorder="0" applyAlignment="0" applyProtection="0"/>
    <xf numFmtId="0" fontId="47" fillId="0" borderId="0" applyNumberFormat="0" applyFill="0" applyBorder="0" applyAlignment="0" applyProtection="0"/>
    <xf numFmtId="43" fontId="1" fillId="0" borderId="0" applyFont="0" applyFill="0" applyBorder="0" applyAlignment="0" applyProtection="0"/>
  </cellStyleXfs>
  <cellXfs count="537">
    <xf numFmtId="0" fontId="0" fillId="0" borderId="0" xfId="0"/>
    <xf numFmtId="0" fontId="4" fillId="0" borderId="0" xfId="2" quotePrefix="1" applyFont="1" applyAlignment="1">
      <alignment horizontal="left" vertical="top"/>
    </xf>
    <xf numFmtId="0" fontId="5" fillId="0" borderId="0" xfId="2" quotePrefix="1" applyFont="1" applyAlignment="1">
      <alignment horizontal="center" vertical="top"/>
    </xf>
    <xf numFmtId="0" fontId="6" fillId="0" borderId="0" xfId="2" quotePrefix="1" applyFont="1" applyAlignment="1">
      <alignment horizontal="center" vertical="top" wrapText="1"/>
    </xf>
    <xf numFmtId="0" fontId="7" fillId="0" borderId="0" xfId="2" applyFont="1" applyAlignment="1">
      <alignment vertical="top"/>
    </xf>
    <xf numFmtId="0" fontId="8" fillId="0" borderId="0" xfId="2" applyFont="1" applyAlignment="1">
      <alignment vertical="top"/>
    </xf>
    <xf numFmtId="0" fontId="7" fillId="0" borderId="0" xfId="2" applyFont="1" applyBorder="1" applyAlignment="1">
      <alignment vertical="top"/>
    </xf>
    <xf numFmtId="0" fontId="9" fillId="0" borderId="0" xfId="2" quotePrefix="1" applyFont="1" applyAlignment="1">
      <alignment horizontal="left" vertical="top"/>
    </xf>
    <xf numFmtId="0" fontId="7" fillId="0" borderId="4" xfId="2" applyFont="1" applyBorder="1" applyAlignment="1">
      <alignment vertical="top"/>
    </xf>
    <xf numFmtId="0" fontId="10" fillId="0" borderId="0" xfId="2" applyFont="1" applyAlignment="1">
      <alignment vertical="top"/>
    </xf>
    <xf numFmtId="0" fontId="10" fillId="0" borderId="0" xfId="2" applyFont="1" applyBorder="1" applyAlignment="1">
      <alignment vertical="top"/>
    </xf>
    <xf numFmtId="0" fontId="7" fillId="0" borderId="0" xfId="2" applyFont="1" applyAlignment="1">
      <alignment horizontal="center" vertical="top"/>
    </xf>
    <xf numFmtId="0" fontId="7" fillId="8" borderId="9" xfId="2" applyFont="1" applyFill="1" applyBorder="1" applyAlignment="1">
      <alignment vertical="top"/>
    </xf>
    <xf numFmtId="0" fontId="7" fillId="8" borderId="9" xfId="2" applyFont="1" applyFill="1" applyBorder="1" applyAlignment="1">
      <alignment horizontal="center" vertical="top"/>
    </xf>
    <xf numFmtId="0" fontId="8" fillId="8" borderId="9" xfId="2" applyFont="1" applyFill="1" applyBorder="1" applyAlignment="1">
      <alignment horizontal="center" vertical="top" wrapText="1"/>
    </xf>
    <xf numFmtId="0" fontId="7" fillId="8" borderId="9" xfId="2" quotePrefix="1" applyFont="1" applyFill="1" applyBorder="1" applyAlignment="1">
      <alignment horizontal="center" vertical="top"/>
    </xf>
    <xf numFmtId="0" fontId="8" fillId="8" borderId="9" xfId="2" applyFont="1" applyFill="1" applyBorder="1" applyAlignment="1">
      <alignment horizontal="center" vertical="top"/>
    </xf>
    <xf numFmtId="0" fontId="14" fillId="0" borderId="5" xfId="2" applyFont="1" applyBorder="1" applyAlignment="1">
      <alignment horizontal="center" vertical="top"/>
    </xf>
    <xf numFmtId="164" fontId="8" fillId="2" borderId="5" xfId="3" applyNumberFormat="1" applyFont="1" applyFill="1" applyBorder="1" applyAlignment="1">
      <alignment vertical="top"/>
    </xf>
    <xf numFmtId="0" fontId="14" fillId="2" borderId="5" xfId="2" applyFont="1" applyFill="1" applyBorder="1" applyAlignment="1">
      <alignment horizontal="center" vertical="top"/>
    </xf>
    <xf numFmtId="3" fontId="7" fillId="2" borderId="5" xfId="2" applyNumberFormat="1" applyFont="1" applyFill="1" applyBorder="1"/>
    <xf numFmtId="0" fontId="10" fillId="0" borderId="9" xfId="2" applyFont="1" applyBorder="1" applyAlignment="1">
      <alignment vertical="top"/>
    </xf>
    <xf numFmtId="0" fontId="14" fillId="0" borderId="11" xfId="2" applyFont="1" applyBorder="1" applyAlignment="1">
      <alignment horizontal="center" vertical="top"/>
    </xf>
    <xf numFmtId="164" fontId="8" fillId="2" borderId="11" xfId="3" applyNumberFormat="1" applyFont="1" applyFill="1" applyBorder="1" applyAlignment="1">
      <alignment vertical="top"/>
    </xf>
    <xf numFmtId="0" fontId="15" fillId="0" borderId="11" xfId="2" quotePrefix="1" applyFont="1" applyBorder="1" applyAlignment="1">
      <alignment vertical="top"/>
    </xf>
    <xf numFmtId="0" fontId="16" fillId="0" borderId="0" xfId="2" applyFont="1" applyBorder="1" applyAlignment="1">
      <alignment vertical="top"/>
    </xf>
    <xf numFmtId="0" fontId="15" fillId="0" borderId="11" xfId="2" applyFont="1" applyBorder="1" applyAlignment="1">
      <alignment vertical="top"/>
    </xf>
    <xf numFmtId="0" fontId="14" fillId="2" borderId="11" xfId="2" applyFont="1" applyFill="1" applyBorder="1" applyAlignment="1">
      <alignment horizontal="center" vertical="top"/>
    </xf>
    <xf numFmtId="3" fontId="7" fillId="2" borderId="11" xfId="2" applyNumberFormat="1" applyFont="1" applyFill="1" applyBorder="1"/>
    <xf numFmtId="0" fontId="15" fillId="0" borderId="11" xfId="2" quotePrefix="1" applyFont="1" applyBorder="1" applyAlignment="1">
      <alignment horizontal="left" vertical="top"/>
    </xf>
    <xf numFmtId="164" fontId="8" fillId="2" borderId="11" xfId="3" applyNumberFormat="1" applyFont="1" applyFill="1" applyBorder="1" applyAlignment="1">
      <alignment horizontal="center" vertical="top"/>
    </xf>
    <xf numFmtId="0" fontId="17" fillId="0" borderId="0" xfId="2" applyFont="1" applyBorder="1" applyAlignment="1">
      <alignment vertical="top"/>
    </xf>
    <xf numFmtId="0" fontId="13" fillId="0" borderId="9" xfId="2" quotePrefix="1" applyFont="1" applyBorder="1" applyAlignment="1">
      <alignment vertical="top"/>
    </xf>
    <xf numFmtId="0" fontId="14" fillId="0" borderId="9" xfId="2" applyFont="1" applyBorder="1" applyAlignment="1">
      <alignment horizontal="center" vertical="top"/>
    </xf>
    <xf numFmtId="3" fontId="7" fillId="0" borderId="9" xfId="2" applyNumberFormat="1" applyFont="1" applyBorder="1"/>
    <xf numFmtId="164" fontId="8" fillId="2" borderId="9" xfId="3" applyNumberFormat="1" applyFont="1" applyFill="1" applyBorder="1" applyAlignment="1">
      <alignment vertical="top"/>
    </xf>
    <xf numFmtId="0" fontId="18" fillId="0" borderId="0" xfId="2" applyFont="1" applyAlignment="1">
      <alignment vertical="top"/>
    </xf>
    <xf numFmtId="0" fontId="18" fillId="0" borderId="0" xfId="2" applyFont="1" applyAlignment="1">
      <alignment horizontal="center" vertical="top"/>
    </xf>
    <xf numFmtId="0" fontId="19" fillId="0" borderId="0" xfId="2" applyFont="1" applyAlignment="1">
      <alignment horizontal="center" vertical="top" wrapText="1"/>
    </xf>
    <xf numFmtId="3" fontId="18" fillId="0" borderId="0" xfId="2" applyNumberFormat="1" applyFont="1" applyAlignment="1">
      <alignment vertical="top"/>
    </xf>
    <xf numFmtId="3" fontId="19" fillId="0" borderId="0" xfId="2" applyNumberFormat="1" applyFont="1" applyAlignment="1">
      <alignment vertical="top"/>
    </xf>
    <xf numFmtId="165" fontId="18" fillId="0" borderId="0" xfId="2" applyNumberFormat="1" applyFont="1" applyAlignment="1">
      <alignment vertical="top"/>
    </xf>
    <xf numFmtId="0" fontId="18" fillId="0" borderId="0" xfId="2" applyFont="1" applyBorder="1" applyAlignment="1">
      <alignment vertical="top"/>
    </xf>
    <xf numFmtId="3" fontId="18" fillId="0" borderId="0" xfId="2" applyNumberFormat="1" applyFont="1" applyAlignment="1">
      <alignment horizontal="right" vertical="top"/>
    </xf>
    <xf numFmtId="166" fontId="18" fillId="0" borderId="0" xfId="4" applyNumberFormat="1" applyFont="1" applyAlignment="1">
      <alignment vertical="top"/>
    </xf>
    <xf numFmtId="0" fontId="8" fillId="0" borderId="0" xfId="2" applyFont="1" applyAlignment="1">
      <alignment horizontal="center" vertical="top" wrapText="1"/>
    </xf>
    <xf numFmtId="0" fontId="21" fillId="0" borderId="0" xfId="2" applyFont="1" applyAlignment="1">
      <alignment vertical="top"/>
    </xf>
    <xf numFmtId="166" fontId="22" fillId="4" borderId="9" xfId="2" quotePrefix="1" applyNumberFormat="1" applyFont="1" applyFill="1" applyBorder="1" applyAlignment="1">
      <alignment horizontal="center" vertical="top" wrapText="1"/>
    </xf>
    <xf numFmtId="0" fontId="22" fillId="4" borderId="9" xfId="2" quotePrefix="1" applyFont="1" applyFill="1" applyBorder="1" applyAlignment="1">
      <alignment horizontal="center" vertical="top" wrapText="1"/>
    </xf>
    <xf numFmtId="0" fontId="10" fillId="0" borderId="0" xfId="2" applyFont="1" applyAlignment="1">
      <alignment horizontal="center" vertical="top"/>
    </xf>
    <xf numFmtId="0" fontId="10" fillId="0" borderId="0" xfId="2" applyFont="1" applyBorder="1" applyAlignment="1">
      <alignment horizontal="center" vertical="top"/>
    </xf>
    <xf numFmtId="0" fontId="12" fillId="0" borderId="0" xfId="2" applyFont="1" applyFill="1" applyBorder="1" applyAlignment="1">
      <alignment horizontal="center" vertical="top"/>
    </xf>
    <xf numFmtId="0" fontId="12" fillId="4" borderId="9" xfId="2" quotePrefix="1" applyFont="1" applyFill="1" applyBorder="1" applyAlignment="1">
      <alignment horizontal="center" vertical="top" wrapText="1"/>
    </xf>
    <xf numFmtId="0" fontId="12" fillId="4" borderId="9" xfId="2" quotePrefix="1" applyFont="1" applyFill="1" applyBorder="1" applyAlignment="1">
      <alignment horizontal="center" vertical="top"/>
    </xf>
    <xf numFmtId="0" fontId="12" fillId="0" borderId="0" xfId="2" applyFont="1" applyAlignment="1">
      <alignment horizontal="center" vertical="top"/>
    </xf>
    <xf numFmtId="0" fontId="12" fillId="0" borderId="0" xfId="2" applyFont="1" applyBorder="1" applyAlignment="1">
      <alignment horizontal="center" vertical="top"/>
    </xf>
    <xf numFmtId="167" fontId="7" fillId="0" borderId="9" xfId="4" applyNumberFormat="1" applyFont="1" applyBorder="1" applyAlignment="1">
      <alignment vertical="top"/>
    </xf>
    <xf numFmtId="167" fontId="10" fillId="0" borderId="9" xfId="4" applyNumberFormat="1" applyFont="1" applyBorder="1" applyAlignment="1">
      <alignment vertical="top"/>
    </xf>
    <xf numFmtId="167" fontId="10" fillId="3" borderId="9" xfId="4" applyNumberFormat="1" applyFont="1" applyFill="1" applyBorder="1" applyAlignment="1">
      <alignment vertical="top"/>
    </xf>
    <xf numFmtId="0" fontId="18" fillId="0" borderId="0" xfId="2" applyFont="1" applyAlignment="1">
      <alignment horizontal="right" vertical="top"/>
    </xf>
    <xf numFmtId="167" fontId="18" fillId="0" borderId="0" xfId="4" applyNumberFormat="1" applyFont="1" applyAlignment="1">
      <alignment vertical="top"/>
    </xf>
    <xf numFmtId="167" fontId="18" fillId="0" borderId="0" xfId="2" applyNumberFormat="1" applyFont="1" applyAlignment="1">
      <alignment vertical="top"/>
    </xf>
    <xf numFmtId="168" fontId="18" fillId="0" borderId="0" xfId="3" applyNumberFormat="1" applyFont="1" applyAlignment="1">
      <alignment vertical="top"/>
    </xf>
    <xf numFmtId="1" fontId="18" fillId="0" borderId="0" xfId="4" applyNumberFormat="1" applyFont="1" applyAlignment="1">
      <alignment vertical="top"/>
    </xf>
    <xf numFmtId="0" fontId="12" fillId="6" borderId="9" xfId="2" quotePrefix="1" applyFont="1" applyFill="1" applyBorder="1" applyAlignment="1">
      <alignment horizontal="center" vertical="top"/>
    </xf>
    <xf numFmtId="0" fontId="18" fillId="0" borderId="9" xfId="2" applyFont="1" applyBorder="1" applyAlignment="1">
      <alignment horizontal="center" vertical="top"/>
    </xf>
    <xf numFmtId="166" fontId="14" fillId="0" borderId="9" xfId="4" applyNumberFormat="1" applyFont="1" applyBorder="1" applyAlignment="1">
      <alignment vertical="top"/>
    </xf>
    <xf numFmtId="166" fontId="14" fillId="0" borderId="9" xfId="4" applyNumberFormat="1" applyFont="1" applyBorder="1"/>
    <xf numFmtId="10" fontId="4" fillId="0" borderId="9" xfId="4" applyNumberFormat="1" applyFont="1" applyBorder="1"/>
    <xf numFmtId="166" fontId="13" fillId="3" borderId="9" xfId="4" applyNumberFormat="1" applyFont="1" applyFill="1" applyBorder="1" applyAlignment="1">
      <alignment vertical="top"/>
    </xf>
    <xf numFmtId="2" fontId="13" fillId="0" borderId="9" xfId="4" applyNumberFormat="1" applyFont="1" applyBorder="1" applyAlignment="1">
      <alignment vertical="top"/>
    </xf>
    <xf numFmtId="10" fontId="23" fillId="0" borderId="9" xfId="4" applyNumberFormat="1" applyFont="1" applyBorder="1"/>
    <xf numFmtId="166" fontId="7" fillId="0" borderId="0" xfId="2" applyNumberFormat="1" applyFont="1" applyAlignment="1">
      <alignment vertical="top"/>
    </xf>
    <xf numFmtId="0" fontId="12" fillId="10" borderId="9" xfId="2" quotePrefix="1" applyFont="1" applyFill="1" applyBorder="1" applyAlignment="1">
      <alignment horizontal="center" vertical="top"/>
    </xf>
    <xf numFmtId="0" fontId="18" fillId="0" borderId="0" xfId="2" applyFont="1" applyFill="1" applyBorder="1" applyAlignment="1">
      <alignment horizontal="right" vertical="top"/>
    </xf>
    <xf numFmtId="167" fontId="7" fillId="0" borderId="0" xfId="2" applyNumberFormat="1" applyFont="1" applyAlignment="1">
      <alignment vertical="top"/>
    </xf>
    <xf numFmtId="0" fontId="13" fillId="0" borderId="5" xfId="2" applyFont="1" applyBorder="1" applyAlignment="1">
      <alignment vertical="top"/>
    </xf>
    <xf numFmtId="0" fontId="14" fillId="0" borderId="11" xfId="2" applyFont="1" applyBorder="1" applyAlignment="1">
      <alignment vertical="top"/>
    </xf>
    <xf numFmtId="0" fontId="14" fillId="0" borderId="11" xfId="2" quotePrefix="1" applyFont="1" applyBorder="1" applyAlignment="1">
      <alignment vertical="top"/>
    </xf>
    <xf numFmtId="0" fontId="13" fillId="0" borderId="5" xfId="2" quotePrefix="1" applyFont="1" applyBorder="1" applyAlignment="1">
      <alignment vertical="top" wrapText="1"/>
    </xf>
    <xf numFmtId="0" fontId="9" fillId="0" borderId="0" xfId="2" applyFont="1" applyAlignment="1">
      <alignment vertical="top"/>
    </xf>
    <xf numFmtId="0" fontId="26" fillId="0" borderId="0" xfId="0" applyFont="1" applyFill="1" applyBorder="1" applyAlignment="1">
      <alignment vertical="center"/>
    </xf>
    <xf numFmtId="0" fontId="7" fillId="0" borderId="0" xfId="2" applyFont="1" applyFill="1" applyBorder="1" applyAlignment="1">
      <alignment horizontal="center" vertical="top"/>
    </xf>
    <xf numFmtId="0" fontId="7" fillId="0" borderId="0" xfId="2" quotePrefix="1" applyFont="1" applyFill="1" applyBorder="1" applyAlignment="1">
      <alignment horizontal="center" vertical="top"/>
    </xf>
    <xf numFmtId="3" fontId="14" fillId="0" borderId="2" xfId="2" applyNumberFormat="1" applyFont="1" applyBorder="1" applyAlignment="1">
      <alignment vertical="top"/>
    </xf>
    <xf numFmtId="0" fontId="13" fillId="0" borderId="0" xfId="2" applyFont="1" applyAlignment="1">
      <alignment vertical="top"/>
    </xf>
    <xf numFmtId="0" fontId="14" fillId="0" borderId="9" xfId="2" applyFont="1" applyFill="1" applyBorder="1" applyAlignment="1">
      <alignment horizontal="left" vertical="top"/>
    </xf>
    <xf numFmtId="0" fontId="14" fillId="0" borderId="9" xfId="2" quotePrefix="1" applyFont="1" applyFill="1" applyBorder="1" applyAlignment="1">
      <alignment horizontal="left" vertical="top"/>
    </xf>
    <xf numFmtId="0" fontId="13" fillId="0" borderId="9" xfId="2" applyFont="1" applyFill="1" applyBorder="1" applyAlignment="1">
      <alignment horizontal="left" vertical="top"/>
    </xf>
    <xf numFmtId="0" fontId="18" fillId="0" borderId="0" xfId="2" quotePrefix="1" applyFont="1" applyAlignment="1">
      <alignment horizontal="left" vertical="top"/>
    </xf>
    <xf numFmtId="0" fontId="30" fillId="9" borderId="9" xfId="2" applyFont="1" applyFill="1" applyBorder="1" applyAlignment="1">
      <alignment horizontal="center" vertical="center"/>
    </xf>
    <xf numFmtId="166" fontId="12" fillId="4" borderId="9" xfId="2" quotePrefix="1" applyNumberFormat="1" applyFont="1" applyFill="1" applyBorder="1" applyAlignment="1">
      <alignment horizontal="center" vertical="top" wrapText="1"/>
    </xf>
    <xf numFmtId="166" fontId="31" fillId="4" borderId="9" xfId="2" quotePrefix="1" applyNumberFormat="1" applyFont="1" applyFill="1" applyBorder="1" applyAlignment="1">
      <alignment horizontal="center" vertical="top" wrapText="1"/>
    </xf>
    <xf numFmtId="0" fontId="31" fillId="4" borderId="9" xfId="2" quotePrefix="1" applyFont="1" applyFill="1" applyBorder="1" applyAlignment="1">
      <alignment horizontal="center" vertical="top" wrapText="1"/>
    </xf>
    <xf numFmtId="166" fontId="15" fillId="4" borderId="9" xfId="2" quotePrefix="1" applyNumberFormat="1" applyFont="1" applyFill="1" applyBorder="1" applyAlignment="1">
      <alignment horizontal="center" vertical="top"/>
    </xf>
    <xf numFmtId="0" fontId="15" fillId="4" borderId="9" xfId="2" quotePrefix="1" applyFont="1" applyFill="1" applyBorder="1" applyAlignment="1">
      <alignment horizontal="center" vertical="top" wrapText="1"/>
    </xf>
    <xf numFmtId="0" fontId="15" fillId="4" borderId="9" xfId="2" quotePrefix="1" applyFont="1" applyFill="1" applyBorder="1" applyAlignment="1">
      <alignment horizontal="center" vertical="top"/>
    </xf>
    <xf numFmtId="0" fontId="20" fillId="0" borderId="0" xfId="0" applyFont="1" applyAlignment="1"/>
    <xf numFmtId="0" fontId="8" fillId="0" borderId="0" xfId="0" applyFont="1" applyAlignment="1">
      <alignment horizontal="center" vertical="top" wrapText="1"/>
    </xf>
    <xf numFmtId="0" fontId="7" fillId="0" borderId="0" xfId="0" applyFont="1" applyAlignment="1">
      <alignment vertical="top"/>
    </xf>
    <xf numFmtId="0" fontId="7" fillId="4" borderId="9" xfId="0" applyFont="1" applyFill="1" applyBorder="1" applyAlignment="1">
      <alignment horizontal="center" vertical="top"/>
    </xf>
    <xf numFmtId="0" fontId="14" fillId="6" borderId="9" xfId="0" quotePrefix="1" applyFont="1" applyFill="1" applyBorder="1" applyAlignment="1">
      <alignment horizontal="center" vertical="top" wrapText="1"/>
    </xf>
    <xf numFmtId="0" fontId="4" fillId="6" borderId="9" xfId="0" quotePrefix="1" applyFont="1" applyFill="1" applyBorder="1" applyAlignment="1">
      <alignment horizontal="center" vertical="top" wrapText="1"/>
    </xf>
    <xf numFmtId="0" fontId="10" fillId="0" borderId="9" xfId="0" applyFont="1" applyFill="1" applyBorder="1" applyAlignment="1">
      <alignment horizontal="left" vertical="top"/>
    </xf>
    <xf numFmtId="0" fontId="14" fillId="0" borderId="9" xfId="0" quotePrefix="1" applyFont="1" applyFill="1" applyBorder="1" applyAlignment="1">
      <alignment horizontal="center" vertical="top" wrapText="1"/>
    </xf>
    <xf numFmtId="0" fontId="4" fillId="0" borderId="9" xfId="0" quotePrefix="1" applyFont="1" applyFill="1" applyBorder="1" applyAlignment="1">
      <alignment horizontal="center" vertical="top" wrapText="1"/>
    </xf>
    <xf numFmtId="0" fontId="14" fillId="0" borderId="9" xfId="0" applyFont="1" applyBorder="1" applyAlignment="1">
      <alignment vertical="top"/>
    </xf>
    <xf numFmtId="0" fontId="14" fillId="0" borderId="9" xfId="0" applyFont="1" applyBorder="1" applyAlignment="1">
      <alignment horizontal="left" vertical="top"/>
    </xf>
    <xf numFmtId="0" fontId="14" fillId="0" borderId="9" xfId="0" quotePrefix="1" applyFont="1" applyBorder="1" applyAlignment="1">
      <alignment horizontal="left" vertical="top"/>
    </xf>
    <xf numFmtId="0" fontId="13" fillId="0" borderId="9" xfId="0" applyFont="1" applyBorder="1" applyAlignment="1">
      <alignment vertical="top"/>
    </xf>
    <xf numFmtId="0" fontId="18" fillId="0" borderId="0" xfId="0" applyFont="1" applyAlignment="1">
      <alignment vertical="top"/>
    </xf>
    <xf numFmtId="166" fontId="18" fillId="0" borderId="0" xfId="0" applyNumberFormat="1" applyFont="1" applyAlignment="1">
      <alignment horizontal="right" vertical="top" wrapText="1"/>
    </xf>
    <xf numFmtId="0" fontId="8" fillId="0" borderId="0" xfId="0" applyFont="1"/>
    <xf numFmtId="0" fontId="4" fillId="0" borderId="0" xfId="0" applyFont="1"/>
    <xf numFmtId="0" fontId="7" fillId="0" borderId="0" xfId="0" applyFont="1"/>
    <xf numFmtId="0" fontId="9" fillId="0" borderId="0" xfId="0" applyFont="1" applyAlignment="1"/>
    <xf numFmtId="0" fontId="9" fillId="0" borderId="0" xfId="2" quotePrefix="1" applyFont="1" applyBorder="1" applyAlignment="1">
      <alignment horizontal="left" vertical="top"/>
    </xf>
    <xf numFmtId="0" fontId="5" fillId="0" borderId="0" xfId="2" quotePrefix="1" applyFont="1" applyBorder="1" applyAlignment="1">
      <alignment horizontal="center" vertical="top"/>
    </xf>
    <xf numFmtId="0" fontId="6" fillId="0" borderId="0" xfId="2" quotePrefix="1" applyFont="1" applyBorder="1" applyAlignment="1">
      <alignment horizontal="center" vertical="top" wrapText="1"/>
    </xf>
    <xf numFmtId="0" fontId="4" fillId="2" borderId="0" xfId="2" quotePrefix="1"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horizontal="center" vertical="top" wrapText="1"/>
    </xf>
    <xf numFmtId="165" fontId="14" fillId="2" borderId="9" xfId="2" applyNumberFormat="1" applyFont="1" applyFill="1" applyBorder="1" applyAlignment="1">
      <alignment vertical="top"/>
    </xf>
    <xf numFmtId="166" fontId="14" fillId="2" borderId="9" xfId="1" applyNumberFormat="1" applyFont="1" applyFill="1" applyBorder="1" applyAlignment="1">
      <alignment vertical="top"/>
    </xf>
    <xf numFmtId="0" fontId="14" fillId="0" borderId="2" xfId="2" quotePrefix="1" applyFont="1" applyBorder="1" applyAlignment="1">
      <alignment horizontal="left" vertical="top"/>
    </xf>
    <xf numFmtId="0" fontId="14" fillId="0" borderId="0" xfId="2" quotePrefix="1" applyFont="1" applyBorder="1" applyAlignment="1">
      <alignment horizontal="left" vertical="top"/>
    </xf>
    <xf numFmtId="166" fontId="13" fillId="0" borderId="9" xfId="4" applyNumberFormat="1" applyFont="1" applyBorder="1" applyAlignment="1">
      <alignment vertical="top"/>
    </xf>
    <xf numFmtId="0" fontId="18" fillId="0" borderId="5" xfId="2" applyFont="1" applyBorder="1" applyAlignment="1">
      <alignment horizontal="center" vertical="top"/>
    </xf>
    <xf numFmtId="0" fontId="18" fillId="0" borderId="11" xfId="2" applyFont="1" applyBorder="1" applyAlignment="1">
      <alignment horizontal="center" vertical="top"/>
    </xf>
    <xf numFmtId="0" fontId="18" fillId="0" borderId="10" xfId="2" applyFont="1" applyBorder="1" applyAlignment="1">
      <alignment horizontal="center" vertical="top"/>
    </xf>
    <xf numFmtId="0" fontId="20" fillId="0" borderId="0" xfId="0" applyFont="1" applyFill="1" applyBorder="1" applyAlignment="1"/>
    <xf numFmtId="0" fontId="8" fillId="0" borderId="0" xfId="0" applyFont="1" applyFill="1" applyBorder="1" applyAlignment="1">
      <alignment horizontal="center" vertical="top" wrapText="1"/>
    </xf>
    <xf numFmtId="0" fontId="7" fillId="0" borderId="0" xfId="0" applyFont="1" applyFill="1" applyBorder="1" applyAlignment="1">
      <alignment vertical="top"/>
    </xf>
    <xf numFmtId="0" fontId="14" fillId="0" borderId="7" xfId="0" quotePrefix="1" applyFont="1" applyFill="1" applyBorder="1" applyAlignment="1">
      <alignment horizontal="center" vertical="top" wrapText="1"/>
    </xf>
    <xf numFmtId="10" fontId="23" fillId="0" borderId="7" xfId="4" applyNumberFormat="1" applyFont="1" applyFill="1" applyBorder="1"/>
    <xf numFmtId="0" fontId="0" fillId="0" borderId="0" xfId="0" applyFill="1" applyBorder="1"/>
    <xf numFmtId="0" fontId="13" fillId="6" borderId="9" xfId="0" quotePrefix="1" applyFont="1" applyFill="1" applyBorder="1" applyAlignment="1">
      <alignment horizontal="center" vertical="top" wrapText="1"/>
    </xf>
    <xf numFmtId="0" fontId="23" fillId="6" borderId="9" xfId="0" quotePrefix="1" applyFont="1" applyFill="1" applyBorder="1" applyAlignment="1">
      <alignment horizontal="center" vertical="top" wrapText="1"/>
    </xf>
    <xf numFmtId="0" fontId="15" fillId="6" borderId="9" xfId="0" quotePrefix="1" applyFont="1" applyFill="1" applyBorder="1" applyAlignment="1">
      <alignment horizontal="center" vertical="top" wrapText="1"/>
    </xf>
    <xf numFmtId="0" fontId="7" fillId="0" borderId="9" xfId="0" applyFont="1" applyFill="1" applyBorder="1" applyAlignment="1">
      <alignment vertical="top"/>
    </xf>
    <xf numFmtId="0" fontId="7" fillId="0" borderId="9" xfId="0" quotePrefix="1" applyFont="1" applyFill="1" applyBorder="1" applyAlignment="1">
      <alignment horizontal="left" vertical="top"/>
    </xf>
    <xf numFmtId="0" fontId="14" fillId="0" borderId="11" xfId="2" quotePrefix="1" applyFont="1" applyBorder="1" applyAlignment="1">
      <alignment horizontal="left" vertical="top"/>
    </xf>
    <xf numFmtId="3" fontId="18" fillId="0" borderId="0" xfId="2" quotePrefix="1" applyNumberFormat="1" applyFont="1" applyAlignment="1">
      <alignment horizontal="left" vertical="top"/>
    </xf>
    <xf numFmtId="4" fontId="18" fillId="0" borderId="0" xfId="2" applyNumberFormat="1" applyFont="1" applyAlignment="1">
      <alignment vertical="top"/>
    </xf>
    <xf numFmtId="4" fontId="14" fillId="2" borderId="9" xfId="2" applyNumberFormat="1" applyFont="1" applyFill="1" applyBorder="1" applyAlignment="1">
      <alignment vertical="top"/>
    </xf>
    <xf numFmtId="165" fontId="7" fillId="0" borderId="9" xfId="0" applyNumberFormat="1" applyFont="1" applyBorder="1" applyAlignment="1">
      <alignment horizontal="right" vertical="top"/>
    </xf>
    <xf numFmtId="4" fontId="18" fillId="0" borderId="0" xfId="0" applyNumberFormat="1" applyFont="1" applyAlignment="1">
      <alignment horizontal="right" vertical="top"/>
    </xf>
    <xf numFmtId="4" fontId="7" fillId="0" borderId="9" xfId="0" applyNumberFormat="1" applyFont="1" applyBorder="1" applyAlignment="1">
      <alignment horizontal="right" vertical="top"/>
    </xf>
    <xf numFmtId="0" fontId="7" fillId="0" borderId="0" xfId="0" applyFont="1" applyAlignment="1">
      <alignment horizontal="right" vertical="top"/>
    </xf>
    <xf numFmtId="0" fontId="9" fillId="0" borderId="0" xfId="0" quotePrefix="1" applyFont="1" applyAlignment="1">
      <alignment horizontal="left" vertical="top"/>
    </xf>
    <xf numFmtId="0" fontId="0" fillId="0" borderId="9" xfId="0" applyBorder="1" applyAlignment="1">
      <alignment horizontal="center"/>
    </xf>
    <xf numFmtId="0" fontId="2" fillId="4" borderId="9"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9" xfId="0" quotePrefix="1" applyFont="1" applyFill="1" applyBorder="1" applyAlignment="1">
      <alignment horizontal="center" vertical="top" wrapText="1"/>
    </xf>
    <xf numFmtId="0" fontId="18" fillId="0" borderId="0" xfId="0" applyFont="1" applyAlignment="1">
      <alignment horizontal="right" vertical="top"/>
    </xf>
    <xf numFmtId="0" fontId="32" fillId="3" borderId="0" xfId="0" applyFont="1" applyFill="1"/>
    <xf numFmtId="0" fontId="2" fillId="3" borderId="0" xfId="0" applyFont="1" applyFill="1"/>
    <xf numFmtId="0" fontId="29" fillId="0" borderId="1" xfId="0" applyFont="1" applyFill="1" applyBorder="1" applyAlignment="1">
      <alignment vertical="center"/>
    </xf>
    <xf numFmtId="0" fontId="29" fillId="11" borderId="12" xfId="0" applyFont="1" applyFill="1" applyBorder="1" applyAlignment="1">
      <alignment vertical="center"/>
    </xf>
    <xf numFmtId="0" fontId="28" fillId="0" borderId="12" xfId="0" applyFont="1" applyBorder="1" applyAlignment="1">
      <alignment horizontal="left" vertical="center"/>
    </xf>
    <xf numFmtId="0" fontId="28" fillId="11" borderId="12" xfId="0" applyFont="1" applyFill="1" applyBorder="1" applyAlignment="1">
      <alignment horizontal="left" vertical="center"/>
    </xf>
    <xf numFmtId="0" fontId="14" fillId="0" borderId="12" xfId="2" quotePrefix="1" applyFont="1" applyBorder="1" applyAlignment="1">
      <alignment horizontal="left" vertical="top"/>
    </xf>
    <xf numFmtId="0" fontId="29" fillId="11" borderId="1" xfId="0" applyFont="1" applyFill="1" applyBorder="1" applyAlignment="1">
      <alignment vertical="center"/>
    </xf>
    <xf numFmtId="0" fontId="14" fillId="0" borderId="12" xfId="2" applyFont="1" applyBorder="1" applyAlignment="1">
      <alignment vertical="top"/>
    </xf>
    <xf numFmtId="0" fontId="28" fillId="11" borderId="3" xfId="0" applyFont="1" applyFill="1" applyBorder="1" applyAlignment="1">
      <alignment horizontal="left" vertical="center"/>
    </xf>
    <xf numFmtId="0" fontId="29" fillId="0" borderId="6" xfId="0" quotePrefix="1" applyFont="1" applyBorder="1" applyAlignment="1">
      <alignment horizontal="left" vertical="center"/>
    </xf>
    <xf numFmtId="0" fontId="19" fillId="0" borderId="9" xfId="2" applyFont="1" applyBorder="1" applyAlignment="1">
      <alignment horizontal="center" vertical="top" wrapText="1"/>
    </xf>
    <xf numFmtId="0" fontId="13" fillId="0" borderId="0" xfId="2" quotePrefix="1" applyFont="1" applyAlignment="1">
      <alignment horizontal="left" vertical="top" wrapText="1"/>
    </xf>
    <xf numFmtId="0" fontId="29" fillId="0" borderId="6" xfId="0" applyFont="1" applyBorder="1" applyAlignment="1">
      <alignment vertical="center"/>
    </xf>
    <xf numFmtId="3" fontId="14" fillId="2" borderId="8" xfId="2" applyNumberFormat="1" applyFont="1" applyFill="1" applyBorder="1" applyAlignment="1">
      <alignment vertical="top"/>
    </xf>
    <xf numFmtId="0" fontId="4" fillId="3" borderId="9" xfId="2" applyFont="1" applyFill="1" applyBorder="1" applyAlignment="1">
      <alignment horizontal="center"/>
    </xf>
    <xf numFmtId="0" fontId="4" fillId="0" borderId="9" xfId="2" applyFont="1" applyBorder="1" applyAlignment="1">
      <alignment horizontal="center"/>
    </xf>
    <xf numFmtId="0" fontId="12" fillId="10" borderId="9" xfId="2" applyFont="1" applyFill="1" applyBorder="1" applyAlignment="1">
      <alignment horizontal="center" vertical="top"/>
    </xf>
    <xf numFmtId="0" fontId="12" fillId="6" borderId="9" xfId="2" applyFont="1" applyFill="1" applyBorder="1" applyAlignment="1">
      <alignment horizontal="center" vertical="top"/>
    </xf>
    <xf numFmtId="0" fontId="12" fillId="7" borderId="9" xfId="2" quotePrefix="1" applyFont="1" applyFill="1" applyBorder="1" applyAlignment="1">
      <alignment horizontal="center" vertical="top"/>
    </xf>
    <xf numFmtId="0" fontId="12" fillId="7" borderId="9" xfId="2" applyFont="1" applyFill="1" applyBorder="1" applyAlignment="1">
      <alignment horizontal="center" vertical="top"/>
    </xf>
    <xf numFmtId="0" fontId="19" fillId="5" borderId="9" xfId="2" quotePrefix="1" applyFont="1" applyFill="1" applyBorder="1" applyAlignment="1">
      <alignment horizontal="center" vertical="top"/>
    </xf>
    <xf numFmtId="0" fontId="19" fillId="5" borderId="9" xfId="2" applyFont="1" applyFill="1" applyBorder="1" applyAlignment="1">
      <alignment horizontal="center" vertical="top"/>
    </xf>
    <xf numFmtId="0" fontId="12" fillId="12" borderId="9" xfId="2" quotePrefix="1" applyFont="1" applyFill="1" applyBorder="1" applyAlignment="1">
      <alignment horizontal="center" vertical="top"/>
    </xf>
    <xf numFmtId="0" fontId="12" fillId="12" borderId="9" xfId="2" applyFont="1" applyFill="1" applyBorder="1" applyAlignment="1">
      <alignment horizontal="center" vertical="top"/>
    </xf>
    <xf numFmtId="0" fontId="12" fillId="13" borderId="8" xfId="2" quotePrefix="1" applyFont="1" applyFill="1" applyBorder="1" applyAlignment="1">
      <alignment horizontal="center" vertical="top"/>
    </xf>
    <xf numFmtId="0" fontId="12" fillId="13" borderId="9" xfId="2" quotePrefix="1" applyFont="1" applyFill="1" applyBorder="1" applyAlignment="1">
      <alignment horizontal="center" vertical="top"/>
    </xf>
    <xf numFmtId="0" fontId="12" fillId="13" borderId="9" xfId="2" applyFont="1" applyFill="1" applyBorder="1" applyAlignment="1">
      <alignment horizontal="center" vertical="top"/>
    </xf>
    <xf numFmtId="0" fontId="27" fillId="14" borderId="9" xfId="0" quotePrefix="1" applyFont="1" applyFill="1" applyBorder="1" applyAlignment="1">
      <alignment horizontal="center" vertical="top" wrapText="1"/>
    </xf>
    <xf numFmtId="0" fontId="27" fillId="14" borderId="9" xfId="0" applyFont="1" applyFill="1" applyBorder="1" applyAlignment="1">
      <alignment horizontal="center" vertical="top" wrapText="1"/>
    </xf>
    <xf numFmtId="3" fontId="7" fillId="0" borderId="11" xfId="0" applyNumberFormat="1" applyFont="1" applyBorder="1"/>
    <xf numFmtId="3" fontId="7" fillId="0" borderId="9" xfId="0" applyNumberFormat="1" applyFont="1" applyBorder="1"/>
    <xf numFmtId="3" fontId="14" fillId="2" borderId="9" xfId="2" applyNumberFormat="1" applyFont="1" applyFill="1" applyBorder="1" applyAlignment="1">
      <alignment vertical="top"/>
    </xf>
    <xf numFmtId="0" fontId="34"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10" fillId="0" borderId="9" xfId="0" applyFont="1" applyBorder="1" applyAlignment="1">
      <alignment horizontal="center" vertical="top" wrapText="1"/>
    </xf>
    <xf numFmtId="0" fontId="10" fillId="0" borderId="9" xfId="0" applyFont="1" applyBorder="1" applyAlignment="1">
      <alignment horizontal="center" vertical="top"/>
    </xf>
    <xf numFmtId="0" fontId="10" fillId="0" borderId="12" xfId="0" applyFont="1" applyBorder="1" applyAlignment="1">
      <alignment vertical="top"/>
    </xf>
    <xf numFmtId="0" fontId="0" fillId="0" borderId="9" xfId="0" applyBorder="1" applyAlignment="1">
      <alignment vertical="top"/>
    </xf>
    <xf numFmtId="0" fontId="10" fillId="0" borderId="11" xfId="0" applyFont="1" applyBorder="1" applyAlignment="1">
      <alignment horizontal="center" vertical="top"/>
    </xf>
    <xf numFmtId="9" fontId="7" fillId="0" borderId="11" xfId="4" applyFont="1" applyBorder="1"/>
    <xf numFmtId="9" fontId="7" fillId="0" borderId="11" xfId="4" applyFont="1" applyBorder="1" applyAlignment="1">
      <alignment vertical="top"/>
    </xf>
    <xf numFmtId="0" fontId="34" fillId="0" borderId="0" xfId="0" quotePrefix="1" applyFont="1" applyAlignment="1">
      <alignment horizontal="left" vertical="top"/>
    </xf>
    <xf numFmtId="0" fontId="0" fillId="0" borderId="0" xfId="0" applyFont="1" applyAlignment="1">
      <alignment vertical="top"/>
    </xf>
    <xf numFmtId="0" fontId="36" fillId="0" borderId="0" xfId="0" applyFont="1" applyAlignment="1">
      <alignment vertical="top"/>
    </xf>
    <xf numFmtId="0" fontId="37" fillId="0" borderId="0" xfId="0" applyFont="1" applyAlignment="1">
      <alignment vertical="top"/>
    </xf>
    <xf numFmtId="0" fontId="37" fillId="0" borderId="0" xfId="0" quotePrefix="1" applyFont="1" applyAlignment="1">
      <alignment horizontal="left" vertical="top"/>
    </xf>
    <xf numFmtId="0" fontId="39" fillId="0" borderId="0" xfId="6" applyFont="1" applyAlignment="1">
      <alignment horizontal="left" vertical="top"/>
    </xf>
    <xf numFmtId="0" fontId="33" fillId="0" borderId="0" xfId="0" applyFont="1" applyAlignment="1">
      <alignment vertical="top"/>
    </xf>
    <xf numFmtId="0" fontId="33" fillId="0" borderId="0" xfId="0" quotePrefix="1" applyFont="1" applyAlignment="1">
      <alignment horizontal="left" vertical="top" wrapText="1"/>
    </xf>
    <xf numFmtId="0" fontId="2" fillId="0" borderId="0" xfId="0" applyFont="1" applyAlignment="1">
      <alignment vertical="top"/>
    </xf>
    <xf numFmtId="1" fontId="14" fillId="17" borderId="9" xfId="0" applyNumberFormat="1" applyFont="1" applyFill="1" applyBorder="1" applyAlignment="1">
      <alignment horizontal="center" vertical="center"/>
    </xf>
    <xf numFmtId="167" fontId="41" fillId="17" borderId="9" xfId="0" applyNumberFormat="1" applyFont="1" applyFill="1" applyBorder="1" applyAlignment="1">
      <alignment horizontal="left" vertical="center"/>
    </xf>
    <xf numFmtId="167" fontId="14" fillId="17" borderId="9" xfId="0" applyNumberFormat="1" applyFont="1" applyFill="1" applyBorder="1" applyAlignment="1">
      <alignment horizontal="center" vertical="center"/>
    </xf>
    <xf numFmtId="167" fontId="4" fillId="17" borderId="9" xfId="0" applyNumberFormat="1" applyFont="1" applyFill="1" applyBorder="1" applyAlignment="1">
      <alignment horizontal="center" vertical="center"/>
    </xf>
    <xf numFmtId="0" fontId="22" fillId="4" borderId="9" xfId="2" quotePrefix="1" applyFont="1" applyFill="1" applyBorder="1" applyAlignment="1">
      <alignment horizontal="center" vertical="top" wrapText="1"/>
    </xf>
    <xf numFmtId="0" fontId="34" fillId="0" borderId="0" xfId="0" applyFont="1"/>
    <xf numFmtId="0" fontId="37" fillId="0" borderId="0" xfId="0" applyFont="1"/>
    <xf numFmtId="0" fontId="39" fillId="0" borderId="0" xfId="6" applyFont="1"/>
    <xf numFmtId="0" fontId="2" fillId="0" borderId="0" xfId="0" applyFont="1" applyAlignment="1">
      <alignment horizontal="center"/>
    </xf>
    <xf numFmtId="3" fontId="7" fillId="17" borderId="11" xfId="2" applyNumberFormat="1" applyFont="1" applyFill="1" applyBorder="1"/>
    <xf numFmtId="165" fontId="14" fillId="2" borderId="8" xfId="2" applyNumberFormat="1" applyFont="1" applyFill="1" applyBorder="1" applyAlignment="1">
      <alignment vertical="top"/>
    </xf>
    <xf numFmtId="0" fontId="7" fillId="0" borderId="0" xfId="2" applyFont="1" applyBorder="1" applyAlignment="1">
      <alignment horizontal="center" vertical="top"/>
    </xf>
    <xf numFmtId="0" fontId="8" fillId="0" borderId="0" xfId="2" applyFont="1" applyBorder="1" applyAlignment="1">
      <alignment horizontal="center" vertical="top" wrapText="1"/>
    </xf>
    <xf numFmtId="3" fontId="7" fillId="0" borderId="0" xfId="0" applyNumberFormat="1" applyFont="1" applyBorder="1"/>
    <xf numFmtId="170" fontId="7" fillId="0" borderId="9" xfId="0" applyNumberFormat="1" applyFont="1" applyBorder="1" applyAlignment="1">
      <alignment horizontal="right" vertical="top"/>
    </xf>
    <xf numFmtId="0" fontId="14" fillId="0" borderId="5" xfId="2" applyFont="1" applyBorder="1" applyAlignment="1">
      <alignment horizontal="left" vertical="top"/>
    </xf>
    <xf numFmtId="0" fontId="14" fillId="0" borderId="11" xfId="2" applyFont="1" applyBorder="1" applyAlignment="1">
      <alignment horizontal="left" vertical="top"/>
    </xf>
    <xf numFmtId="0" fontId="14" fillId="17" borderId="11" xfId="2" applyFont="1" applyFill="1" applyBorder="1" applyAlignment="1">
      <alignment horizontal="left" vertical="top"/>
    </xf>
    <xf numFmtId="0" fontId="14" fillId="0" borderId="9" xfId="2" applyFont="1" applyBorder="1" applyAlignment="1">
      <alignment horizontal="left" vertical="top"/>
    </xf>
    <xf numFmtId="0" fontId="43" fillId="0" borderId="0" xfId="0" applyFont="1" applyAlignment="1">
      <alignment horizontal="center"/>
    </xf>
    <xf numFmtId="0" fontId="2" fillId="0" borderId="0" xfId="0" applyFont="1"/>
    <xf numFmtId="0" fontId="2" fillId="0" borderId="9" xfId="0" applyFont="1" applyBorder="1" applyAlignment="1">
      <alignment vertical="center" wrapText="1"/>
    </xf>
    <xf numFmtId="0" fontId="44"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vertical="center"/>
    </xf>
    <xf numFmtId="0" fontId="43" fillId="0" borderId="9" xfId="0" applyFont="1" applyBorder="1" applyAlignment="1">
      <alignment horizontal="center" vertical="center" wrapText="1"/>
    </xf>
    <xf numFmtId="171" fontId="0" fillId="0" borderId="9" xfId="0" applyNumberFormat="1" applyBorder="1"/>
    <xf numFmtId="0" fontId="0" fillId="0" borderId="9" xfId="0" applyBorder="1"/>
    <xf numFmtId="0" fontId="2" fillId="0" borderId="9" xfId="0" applyFont="1" applyBorder="1" applyAlignment="1">
      <alignment horizontal="center"/>
    </xf>
    <xf numFmtId="0" fontId="45" fillId="0" borderId="0" xfId="0" applyFont="1"/>
    <xf numFmtId="0" fontId="46" fillId="0" borderId="0" xfId="0" applyFont="1"/>
    <xf numFmtId="0" fontId="22" fillId="4" borderId="9" xfId="2" quotePrefix="1" applyFont="1" applyFill="1" applyBorder="1" applyAlignment="1">
      <alignment horizontal="center" vertical="top" wrapText="1"/>
    </xf>
    <xf numFmtId="0" fontId="18" fillId="0" borderId="9" xfId="2" applyFont="1" applyFill="1" applyBorder="1" applyAlignment="1">
      <alignment horizontal="left" vertical="top"/>
    </xf>
    <xf numFmtId="167" fontId="18" fillId="0" borderId="9" xfId="4" applyNumberFormat="1" applyFont="1" applyBorder="1" applyAlignment="1">
      <alignment vertical="top"/>
    </xf>
    <xf numFmtId="3" fontId="18" fillId="0" borderId="9" xfId="2" applyNumberFormat="1" applyFont="1" applyBorder="1"/>
    <xf numFmtId="0" fontId="36" fillId="0" borderId="0" xfId="0" applyFont="1"/>
    <xf numFmtId="167" fontId="14" fillId="0" borderId="9" xfId="4" applyNumberFormat="1" applyFont="1" applyBorder="1" applyAlignment="1">
      <alignment vertical="top"/>
    </xf>
    <xf numFmtId="3" fontId="14" fillId="0" borderId="9" xfId="2" applyNumberFormat="1" applyFont="1" applyBorder="1"/>
    <xf numFmtId="0" fontId="14" fillId="0" borderId="0" xfId="2" applyFont="1" applyAlignment="1">
      <alignment vertical="top"/>
    </xf>
    <xf numFmtId="0" fontId="14" fillId="0" borderId="0" xfId="2" applyFont="1" applyBorder="1" applyAlignment="1">
      <alignment vertical="top"/>
    </xf>
    <xf numFmtId="0" fontId="43" fillId="0" borderId="0" xfId="0" applyFont="1"/>
    <xf numFmtId="2" fontId="18" fillId="0" borderId="9" xfId="4" applyNumberFormat="1" applyFont="1" applyBorder="1" applyAlignment="1">
      <alignment vertical="top"/>
    </xf>
    <xf numFmtId="0" fontId="36" fillId="0" borderId="9" xfId="0" applyFont="1" applyBorder="1" applyAlignment="1">
      <alignment horizontal="center"/>
    </xf>
    <xf numFmtId="0" fontId="18" fillId="0" borderId="9" xfId="0" applyFont="1" applyFill="1" applyBorder="1" applyAlignment="1">
      <alignment vertical="top"/>
    </xf>
    <xf numFmtId="4" fontId="18" fillId="0" borderId="9" xfId="0" applyNumberFormat="1" applyFont="1" applyBorder="1" applyAlignment="1">
      <alignment horizontal="right" vertical="top"/>
    </xf>
    <xf numFmtId="165" fontId="18" fillId="0" borderId="9" xfId="0" applyNumberFormat="1" applyFont="1" applyBorder="1" applyAlignment="1">
      <alignment horizontal="right" vertical="top"/>
    </xf>
    <xf numFmtId="170" fontId="18" fillId="0" borderId="9" xfId="0" applyNumberFormat="1" applyFont="1" applyBorder="1" applyAlignment="1">
      <alignment horizontal="right" vertical="top"/>
    </xf>
    <xf numFmtId="0" fontId="10" fillId="14" borderId="9" xfId="0" applyFont="1" applyFill="1" applyBorder="1" applyAlignment="1">
      <alignment horizontal="center" vertical="center" wrapText="1"/>
    </xf>
    <xf numFmtId="166" fontId="10" fillId="0" borderId="0" xfId="1" applyNumberFormat="1" applyFont="1" applyBorder="1" applyAlignment="1">
      <alignment vertical="top"/>
    </xf>
    <xf numFmtId="0" fontId="14" fillId="0" borderId="4" xfId="0" quotePrefix="1" applyFont="1" applyFill="1" applyBorder="1" applyAlignment="1">
      <alignment horizontal="center" vertical="top" wrapText="1"/>
    </xf>
    <xf numFmtId="10" fontId="23" fillId="0" borderId="4" xfId="4" applyNumberFormat="1" applyFont="1" applyFill="1" applyBorder="1"/>
    <xf numFmtId="10" fontId="23" fillId="0" borderId="0" xfId="4" applyNumberFormat="1" applyFont="1" applyBorder="1"/>
    <xf numFmtId="0" fontId="14" fillId="0" borderId="0" xfId="0" quotePrefix="1" applyFont="1" applyFill="1" applyBorder="1" applyAlignment="1">
      <alignment horizontal="center" vertical="top" wrapText="1"/>
    </xf>
    <xf numFmtId="0" fontId="10" fillId="4" borderId="9" xfId="0" applyFont="1" applyFill="1" applyBorder="1" applyAlignment="1">
      <alignment horizontal="center" vertical="top"/>
    </xf>
    <xf numFmtId="166" fontId="18" fillId="0" borderId="0" xfId="1" applyNumberFormat="1" applyFont="1" applyAlignment="1">
      <alignment vertical="top"/>
    </xf>
    <xf numFmtId="0" fontId="0" fillId="4" borderId="9" xfId="0" applyFill="1" applyBorder="1"/>
    <xf numFmtId="165" fontId="18" fillId="0" borderId="0" xfId="0" applyNumberFormat="1" applyFont="1" applyAlignment="1">
      <alignment horizontal="right" vertical="top"/>
    </xf>
    <xf numFmtId="0" fontId="43" fillId="0" borderId="9" xfId="0" applyFont="1" applyBorder="1"/>
    <xf numFmtId="0" fontId="48" fillId="0" borderId="0" xfId="0" applyFont="1" applyAlignment="1">
      <alignment vertical="top"/>
    </xf>
    <xf numFmtId="0" fontId="0" fillId="0" borderId="0" xfId="0" quotePrefix="1" applyAlignment="1">
      <alignment horizontal="left" vertical="top"/>
    </xf>
    <xf numFmtId="0" fontId="46" fillId="0" borderId="0" xfId="0" applyFont="1" applyAlignment="1">
      <alignment vertical="top"/>
    </xf>
    <xf numFmtId="0" fontId="49" fillId="0" borderId="0" xfId="0" applyFont="1" applyAlignment="1">
      <alignment vertical="top"/>
    </xf>
    <xf numFmtId="10" fontId="23" fillId="0" borderId="2" xfId="4" applyNumberFormat="1" applyFont="1" applyFill="1" applyBorder="1"/>
    <xf numFmtId="0" fontId="23" fillId="0" borderId="12" xfId="0" quotePrefix="1" applyFont="1" applyFill="1" applyBorder="1" applyAlignment="1">
      <alignment horizontal="center" vertical="top" wrapText="1"/>
    </xf>
    <xf numFmtId="0" fontId="4" fillId="0" borderId="12" xfId="0" quotePrefix="1" applyFont="1" applyFill="1" applyBorder="1" applyAlignment="1">
      <alignment horizontal="center" vertical="top" wrapText="1"/>
    </xf>
    <xf numFmtId="0" fontId="4" fillId="0" borderId="12" xfId="0" applyFont="1" applyFill="1" applyBorder="1"/>
    <xf numFmtId="10" fontId="4" fillId="0" borderId="12" xfId="4" applyNumberFormat="1" applyFont="1" applyFill="1" applyBorder="1"/>
    <xf numFmtId="10" fontId="23" fillId="0" borderId="12" xfId="0" applyNumberFormat="1" applyFont="1" applyFill="1" applyBorder="1"/>
    <xf numFmtId="0" fontId="18" fillId="0" borderId="0" xfId="0" applyFont="1" applyFill="1" applyBorder="1" applyAlignment="1">
      <alignment vertical="top"/>
    </xf>
    <xf numFmtId="10" fontId="23" fillId="0" borderId="9" xfId="1" applyNumberFormat="1" applyFont="1" applyBorder="1"/>
    <xf numFmtId="10" fontId="23" fillId="0" borderId="0" xfId="4" applyNumberFormat="1" applyFont="1" applyFill="1" applyBorder="1"/>
    <xf numFmtId="0" fontId="23" fillId="0" borderId="0" xfId="0" quotePrefix="1" applyFont="1" applyFill="1" applyBorder="1" applyAlignment="1">
      <alignment horizontal="center" vertical="top" wrapText="1"/>
    </xf>
    <xf numFmtId="0" fontId="4" fillId="0" borderId="0" xfId="0" quotePrefix="1" applyFont="1" applyFill="1" applyBorder="1" applyAlignment="1">
      <alignment horizontal="center" vertical="top" wrapText="1"/>
    </xf>
    <xf numFmtId="0" fontId="4" fillId="0" borderId="0" xfId="0" applyFont="1" applyFill="1" applyBorder="1"/>
    <xf numFmtId="10" fontId="4" fillId="0" borderId="0" xfId="4" applyNumberFormat="1" applyFont="1" applyFill="1" applyBorder="1"/>
    <xf numFmtId="10" fontId="23" fillId="0" borderId="0" xfId="0" applyNumberFormat="1" applyFont="1" applyFill="1" applyBorder="1"/>
    <xf numFmtId="0" fontId="49" fillId="0" borderId="0" xfId="0" quotePrefix="1" applyFont="1" applyAlignment="1">
      <alignment horizontal="left" vertical="top"/>
    </xf>
    <xf numFmtId="0" fontId="4" fillId="0" borderId="0" xfId="2" quotePrefix="1" applyFont="1" applyBorder="1" applyAlignment="1">
      <alignment horizontal="center" vertical="top"/>
    </xf>
    <xf numFmtId="0" fontId="4" fillId="0" borderId="0" xfId="2" applyFont="1" applyBorder="1" applyAlignment="1">
      <alignment horizontal="center" vertical="top"/>
    </xf>
    <xf numFmtId="0" fontId="22" fillId="4" borderId="9" xfId="2" quotePrefix="1" applyFont="1" applyFill="1" applyBorder="1" applyAlignment="1">
      <alignment horizontal="center" vertical="top" wrapText="1"/>
    </xf>
    <xf numFmtId="0" fontId="18" fillId="0" borderId="0" xfId="0" quotePrefix="1" applyFont="1" applyAlignment="1">
      <alignment horizontal="center" vertical="top" wrapText="1"/>
    </xf>
    <xf numFmtId="49" fontId="49" fillId="0" borderId="0" xfId="0" applyNumberFormat="1" applyFont="1" applyAlignment="1">
      <alignment vertical="top"/>
    </xf>
    <xf numFmtId="0" fontId="49" fillId="0" borderId="0" xfId="0" applyFont="1" applyAlignment="1">
      <alignment horizontal="left" vertical="top"/>
    </xf>
    <xf numFmtId="167" fontId="18" fillId="17" borderId="9" xfId="0" applyNumberFormat="1" applyFont="1" applyFill="1" applyBorder="1" applyAlignment="1">
      <alignment horizontal="center" vertical="center"/>
    </xf>
    <xf numFmtId="0" fontId="2" fillId="4" borderId="9" xfId="0" applyFont="1" applyFill="1" applyBorder="1" applyAlignment="1">
      <alignment vertical="top"/>
    </xf>
    <xf numFmtId="0" fontId="2" fillId="4" borderId="9" xfId="0" applyFont="1" applyFill="1" applyBorder="1" applyAlignment="1">
      <alignment horizontal="center" vertical="top"/>
    </xf>
    <xf numFmtId="0" fontId="40" fillId="4" borderId="9" xfId="0" applyFont="1" applyFill="1" applyBorder="1" applyAlignment="1">
      <alignment horizontal="center" vertical="top"/>
    </xf>
    <xf numFmtId="0" fontId="40" fillId="4" borderId="9" xfId="0" quotePrefix="1" applyFont="1" applyFill="1" applyBorder="1" applyAlignment="1">
      <alignment horizontal="center" vertical="top"/>
    </xf>
    <xf numFmtId="0" fontId="36" fillId="4" borderId="9" xfId="0" quotePrefix="1" applyFont="1" applyFill="1" applyBorder="1" applyAlignment="1">
      <alignment horizontal="center" vertical="top"/>
    </xf>
    <xf numFmtId="0" fontId="37" fillId="4" borderId="9" xfId="0" applyFont="1" applyFill="1" applyBorder="1" applyAlignment="1">
      <alignment horizontal="center" vertical="top"/>
    </xf>
    <xf numFmtId="0" fontId="37" fillId="4" borderId="9" xfId="0" quotePrefix="1" applyFont="1" applyFill="1" applyBorder="1" applyAlignment="1">
      <alignment horizontal="center" vertical="top"/>
    </xf>
    <xf numFmtId="0" fontId="37" fillId="0" borderId="0" xfId="0" applyFont="1" applyAlignment="1">
      <alignment horizontal="center" vertical="top"/>
    </xf>
    <xf numFmtId="0" fontId="0" fillId="0" borderId="9" xfId="0" quotePrefix="1" applyBorder="1" applyAlignment="1">
      <alignment horizontal="left"/>
    </xf>
    <xf numFmtId="0" fontId="2" fillId="4" borderId="9" xfId="0" applyFont="1" applyFill="1" applyBorder="1" applyAlignment="1">
      <alignment horizontal="center"/>
    </xf>
    <xf numFmtId="0" fontId="2" fillId="4" borderId="9" xfId="0" quotePrefix="1" applyFont="1" applyFill="1" applyBorder="1" applyAlignment="1">
      <alignment horizontal="center"/>
    </xf>
    <xf numFmtId="0" fontId="50" fillId="0" borderId="0" xfId="0" applyFont="1" applyAlignment="1">
      <alignment horizontal="left"/>
    </xf>
    <xf numFmtId="0" fontId="51" fillId="0" borderId="0" xfId="0" applyFont="1"/>
    <xf numFmtId="0" fontId="51" fillId="0" borderId="0" xfId="0" applyFont="1" applyAlignment="1">
      <alignment horizontal="left"/>
    </xf>
    <xf numFmtId="0" fontId="52" fillId="0" borderId="0" xfId="0" applyFont="1" applyAlignment="1">
      <alignment horizontal="left"/>
    </xf>
    <xf numFmtId="0" fontId="53" fillId="0" borderId="0" xfId="6" applyFont="1" applyAlignment="1">
      <alignment horizontal="left"/>
    </xf>
    <xf numFmtId="0" fontId="44" fillId="4" borderId="9"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9"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2" fillId="8" borderId="9" xfId="0" applyFont="1" applyFill="1" applyBorder="1" applyAlignment="1">
      <alignment vertical="center" wrapText="1"/>
    </xf>
    <xf numFmtId="0" fontId="4" fillId="0" borderId="0" xfId="2" quotePrefix="1" applyFont="1" applyBorder="1" applyAlignment="1">
      <alignment horizontal="center" vertical="top"/>
    </xf>
    <xf numFmtId="0" fontId="4" fillId="0" borderId="0" xfId="2" applyFont="1" applyBorder="1" applyAlignment="1">
      <alignment horizontal="center" vertical="top"/>
    </xf>
    <xf numFmtId="0" fontId="4" fillId="0" borderId="4" xfId="2" applyFont="1" applyBorder="1" applyAlignment="1">
      <alignment horizontal="center" vertical="top"/>
    </xf>
    <xf numFmtId="0" fontId="4" fillId="0" borderId="4" xfId="2" quotePrefix="1" applyFont="1" applyBorder="1" applyAlignment="1">
      <alignment horizontal="center" vertical="top"/>
    </xf>
    <xf numFmtId="0" fontId="11" fillId="5" borderId="9" xfId="2" quotePrefix="1" applyFont="1" applyFill="1" applyBorder="1" applyAlignment="1">
      <alignment horizontal="center" vertical="top" wrapText="1"/>
    </xf>
    <xf numFmtId="0" fontId="10" fillId="4" borderId="5" xfId="2" applyFont="1" applyFill="1" applyBorder="1" applyAlignment="1">
      <alignment horizontal="center" vertical="top"/>
    </xf>
    <xf numFmtId="0" fontId="10" fillId="4" borderId="10" xfId="2" applyFont="1" applyFill="1" applyBorder="1" applyAlignment="1">
      <alignment horizontal="center" vertical="top"/>
    </xf>
    <xf numFmtId="0" fontId="18" fillId="4" borderId="5" xfId="2" quotePrefix="1" applyFont="1" applyFill="1" applyBorder="1" applyAlignment="1">
      <alignment horizontal="center" vertical="top" wrapText="1"/>
    </xf>
    <xf numFmtId="0" fontId="18" fillId="4" borderId="10" xfId="2" quotePrefix="1" applyFont="1" applyFill="1" applyBorder="1" applyAlignment="1">
      <alignment horizontal="center" vertical="top" wrapText="1"/>
    </xf>
    <xf numFmtId="0" fontId="11" fillId="4" borderId="5" xfId="2" quotePrefix="1" applyFont="1" applyFill="1" applyBorder="1" applyAlignment="1">
      <alignment horizontal="center" vertical="top" wrapText="1"/>
    </xf>
    <xf numFmtId="0" fontId="11" fillId="4" borderId="10" xfId="2" applyFont="1" applyFill="1" applyBorder="1" applyAlignment="1">
      <alignment horizontal="center" vertical="top" wrapText="1"/>
    </xf>
    <xf numFmtId="0" fontId="10" fillId="10" borderId="6" xfId="2" quotePrefix="1" applyFont="1" applyFill="1" applyBorder="1" applyAlignment="1">
      <alignment horizontal="center" vertical="top"/>
    </xf>
    <xf numFmtId="0" fontId="10" fillId="10" borderId="7" xfId="2" applyFont="1" applyFill="1" applyBorder="1" applyAlignment="1">
      <alignment horizontal="center" vertical="top"/>
    </xf>
    <xf numFmtId="0" fontId="10" fillId="10" borderId="8" xfId="2" applyFont="1" applyFill="1" applyBorder="1" applyAlignment="1">
      <alignment horizontal="center" vertical="top"/>
    </xf>
    <xf numFmtId="0" fontId="10" fillId="6" borderId="6" xfId="2" quotePrefix="1" applyFont="1" applyFill="1" applyBorder="1" applyAlignment="1">
      <alignment horizontal="center" vertical="top" wrapText="1"/>
    </xf>
    <xf numFmtId="0" fontId="10" fillId="6" borderId="7" xfId="2" quotePrefix="1" applyFont="1" applyFill="1" applyBorder="1" applyAlignment="1">
      <alignment horizontal="center" vertical="top" wrapText="1"/>
    </xf>
    <xf numFmtId="0" fontId="10" fillId="6" borderId="8" xfId="2" quotePrefix="1" applyFont="1" applyFill="1" applyBorder="1" applyAlignment="1">
      <alignment horizontal="center" vertical="top" wrapText="1"/>
    </xf>
    <xf numFmtId="0" fontId="10" fillId="7" borderId="6" xfId="2" quotePrefix="1" applyFont="1" applyFill="1" applyBorder="1" applyAlignment="1">
      <alignment horizontal="center" vertical="top" wrapText="1"/>
    </xf>
    <xf numFmtId="0" fontId="10" fillId="7" borderId="7" xfId="2" quotePrefix="1" applyFont="1" applyFill="1" applyBorder="1" applyAlignment="1">
      <alignment horizontal="center" vertical="top" wrapText="1"/>
    </xf>
    <xf numFmtId="0" fontId="10" fillId="7" borderId="8" xfId="2" quotePrefix="1" applyFont="1" applyFill="1" applyBorder="1" applyAlignment="1">
      <alignment horizontal="center" vertical="top" wrapText="1"/>
    </xf>
    <xf numFmtId="0" fontId="10" fillId="12" borderId="6" xfId="2" quotePrefix="1" applyFont="1" applyFill="1" applyBorder="1" applyAlignment="1">
      <alignment horizontal="center" vertical="top" wrapText="1"/>
    </xf>
    <xf numFmtId="0" fontId="10" fillId="12" borderId="7" xfId="2" applyFont="1" applyFill="1" applyBorder="1" applyAlignment="1">
      <alignment horizontal="center" vertical="top" wrapText="1"/>
    </xf>
    <xf numFmtId="0" fontId="10" fillId="12" borderId="8" xfId="2" applyFont="1" applyFill="1" applyBorder="1" applyAlignment="1">
      <alignment horizontal="center" vertical="top" wrapText="1"/>
    </xf>
    <xf numFmtId="0" fontId="10" fillId="13" borderId="8" xfId="0" applyFont="1" applyFill="1" applyBorder="1" applyAlignment="1">
      <alignment horizontal="center" vertical="center"/>
    </xf>
    <xf numFmtId="0" fontId="10" fillId="13" borderId="9" xfId="0" applyFont="1" applyFill="1" applyBorder="1" applyAlignment="1">
      <alignment horizontal="center" vertical="center"/>
    </xf>
    <xf numFmtId="0" fontId="10" fillId="14" borderId="9" xfId="0" applyFont="1" applyFill="1" applyBorder="1" applyAlignment="1">
      <alignment horizontal="center" vertical="center"/>
    </xf>
    <xf numFmtId="0" fontId="22" fillId="4" borderId="9" xfId="2" quotePrefix="1" applyFont="1" applyFill="1" applyBorder="1" applyAlignment="1">
      <alignment horizontal="center" vertical="top" wrapText="1"/>
    </xf>
    <xf numFmtId="0" fontId="22" fillId="4" borderId="9" xfId="2" applyFont="1" applyFill="1" applyBorder="1" applyAlignment="1">
      <alignment horizontal="center" vertical="top" wrapText="1"/>
    </xf>
    <xf numFmtId="0" fontId="31" fillId="4" borderId="9" xfId="2" applyFont="1" applyFill="1" applyBorder="1" applyAlignment="1">
      <alignment horizontal="center" vertical="top" wrapText="1"/>
    </xf>
    <xf numFmtId="0" fontId="18" fillId="0" borderId="0" xfId="0" quotePrefix="1" applyFont="1" applyAlignment="1">
      <alignment horizontal="center" vertical="top" wrapText="1"/>
    </xf>
    <xf numFmtId="0" fontId="18" fillId="0" borderId="4" xfId="0" quotePrefix="1" applyFont="1" applyBorder="1" applyAlignment="1">
      <alignment horizontal="center" vertical="top" wrapText="1"/>
    </xf>
    <xf numFmtId="0" fontId="10" fillId="13" borderId="8" xfId="0" quotePrefix="1" applyFont="1" applyFill="1" applyBorder="1" applyAlignment="1">
      <alignment horizontal="center" vertical="center"/>
    </xf>
    <xf numFmtId="0" fontId="10" fillId="13" borderId="6" xfId="0" quotePrefix="1" applyFont="1" applyFill="1" applyBorder="1" applyAlignment="1">
      <alignment horizontal="center" vertical="center" wrapText="1"/>
    </xf>
    <xf numFmtId="0" fontId="10" fillId="13" borderId="8" xfId="0" quotePrefix="1" applyFont="1" applyFill="1" applyBorder="1" applyAlignment="1">
      <alignment horizontal="center" vertical="center" wrapText="1"/>
    </xf>
    <xf numFmtId="0" fontId="10" fillId="10" borderId="6" xfId="2" quotePrefix="1" applyFont="1" applyFill="1" applyBorder="1" applyAlignment="1">
      <alignment horizontal="center" vertical="top" wrapText="1"/>
    </xf>
    <xf numFmtId="0" fontId="10" fillId="10" borderId="8" xfId="2" quotePrefix="1" applyFont="1" applyFill="1" applyBorder="1" applyAlignment="1">
      <alignment horizontal="center" vertical="top" wrapText="1"/>
    </xf>
    <xf numFmtId="0" fontId="10" fillId="12" borderId="8" xfId="2" quotePrefix="1" applyFont="1" applyFill="1" applyBorder="1" applyAlignment="1">
      <alignment horizontal="center" vertical="top" wrapText="1"/>
    </xf>
    <xf numFmtId="0" fontId="11" fillId="5" borderId="6" xfId="2" quotePrefix="1" applyFont="1" applyFill="1" applyBorder="1" applyAlignment="1">
      <alignment horizontal="center" vertical="top" wrapText="1"/>
    </xf>
    <xf numFmtId="0" fontId="11" fillId="5" borderId="8" xfId="2" quotePrefix="1" applyFont="1" applyFill="1" applyBorder="1" applyAlignment="1">
      <alignment horizontal="center" vertical="top" wrapText="1"/>
    </xf>
    <xf numFmtId="0" fontId="35" fillId="15" borderId="6" xfId="0" applyFont="1" applyFill="1" applyBorder="1" applyAlignment="1">
      <alignment horizontal="center" vertical="top"/>
    </xf>
    <xf numFmtId="0" fontId="35" fillId="15" borderId="7" xfId="0" applyFont="1" applyFill="1" applyBorder="1" applyAlignment="1">
      <alignment horizontal="center" vertical="top"/>
    </xf>
    <xf numFmtId="0" fontId="35" fillId="15" borderId="8" xfId="0" applyFont="1" applyFill="1" applyBorder="1" applyAlignment="1">
      <alignment horizontal="center" vertical="top"/>
    </xf>
    <xf numFmtId="0" fontId="10" fillId="16" borderId="9" xfId="0" applyFont="1" applyFill="1" applyBorder="1" applyAlignment="1">
      <alignment horizontal="center" vertical="top"/>
    </xf>
    <xf numFmtId="0" fontId="33" fillId="0" borderId="0" xfId="0" quotePrefix="1" applyFont="1" applyAlignment="1">
      <alignment horizontal="left" vertical="top" wrapText="1"/>
    </xf>
    <xf numFmtId="0" fontId="2" fillId="4" borderId="9" xfId="0" applyFont="1" applyFill="1" applyBorder="1" applyAlignment="1">
      <alignment horizontal="center" vertical="top"/>
    </xf>
    <xf numFmtId="0" fontId="2" fillId="4" borderId="9" xfId="0" quotePrefix="1" applyFont="1" applyFill="1" applyBorder="1" applyAlignment="1">
      <alignment horizontal="center" vertical="top"/>
    </xf>
    <xf numFmtId="0" fontId="52" fillId="0" borderId="0" xfId="0" applyFont="1" applyAlignment="1">
      <alignment horizontal="left" vertical="top"/>
    </xf>
    <xf numFmtId="0" fontId="15" fillId="0" borderId="0" xfId="2" applyFont="1" applyAlignment="1">
      <alignment vertical="top"/>
    </xf>
    <xf numFmtId="0" fontId="18" fillId="0" borderId="0" xfId="0" quotePrefix="1" applyFont="1" applyAlignment="1">
      <alignment vertical="top" wrapText="1"/>
    </xf>
    <xf numFmtId="0" fontId="18" fillId="0" borderId="4" xfId="0" quotePrefix="1" applyFont="1" applyBorder="1" applyAlignment="1">
      <alignment vertical="top" wrapText="1"/>
    </xf>
    <xf numFmtId="0" fontId="36" fillId="0" borderId="0" xfId="0" applyFont="1" applyAlignment="1">
      <alignment horizontal="center" vertical="top" wrapText="1"/>
    </xf>
    <xf numFmtId="0" fontId="52" fillId="0" borderId="0" xfId="0" quotePrefix="1" applyFont="1" applyAlignment="1">
      <alignment horizontal="left" vertical="top"/>
    </xf>
    <xf numFmtId="0" fontId="51" fillId="0" borderId="0" xfId="0" quotePrefix="1" applyFont="1" applyAlignment="1">
      <alignment horizontal="left"/>
    </xf>
    <xf numFmtId="0" fontId="34" fillId="0" borderId="0" xfId="0" quotePrefix="1" applyFont="1" applyFill="1" applyAlignment="1">
      <alignment horizontal="left" vertical="top"/>
    </xf>
    <xf numFmtId="0" fontId="34" fillId="0" borderId="0" xfId="0" applyFont="1" applyFill="1" applyAlignment="1">
      <alignment vertical="top"/>
    </xf>
    <xf numFmtId="0" fontId="0" fillId="0" borderId="0" xfId="0" applyFill="1" applyAlignment="1">
      <alignment vertical="top"/>
    </xf>
    <xf numFmtId="0" fontId="37" fillId="0" borderId="0" xfId="0" applyFont="1" applyFill="1" applyAlignment="1">
      <alignment vertical="top"/>
    </xf>
    <xf numFmtId="49" fontId="37" fillId="0" borderId="0" xfId="0" applyNumberFormat="1" applyFont="1" applyFill="1" applyAlignment="1">
      <alignment vertical="top"/>
    </xf>
    <xf numFmtId="0" fontId="37" fillId="0" borderId="0" xfId="0" quotePrefix="1" applyFont="1" applyFill="1" applyAlignment="1">
      <alignment horizontal="left" vertical="top"/>
    </xf>
    <xf numFmtId="0" fontId="36" fillId="0" borderId="0" xfId="0" quotePrefix="1" applyFont="1" applyFill="1" applyAlignment="1">
      <alignment horizontal="left" vertical="top"/>
    </xf>
    <xf numFmtId="0" fontId="55" fillId="0" borderId="0" xfId="0" quotePrefix="1" applyFont="1" applyFill="1" applyAlignment="1">
      <alignment horizontal="left" vertical="top"/>
    </xf>
    <xf numFmtId="0" fontId="36" fillId="0" borderId="0" xfId="0" applyFont="1" applyFill="1" applyAlignment="1">
      <alignment vertical="top"/>
    </xf>
    <xf numFmtId="49" fontId="36" fillId="0" borderId="0" xfId="0" applyNumberFormat="1" applyFont="1" applyFill="1" applyAlignment="1">
      <alignment vertical="top"/>
    </xf>
    <xf numFmtId="0" fontId="36" fillId="0" borderId="0" xfId="0" applyFont="1" applyFill="1" applyAlignment="1">
      <alignment horizontal="right" vertical="top"/>
    </xf>
    <xf numFmtId="0" fontId="18" fillId="0" borderId="0" xfId="0" quotePrefix="1" applyFont="1" applyAlignment="1">
      <alignment horizontal="left" vertical="top"/>
    </xf>
    <xf numFmtId="0" fontId="55" fillId="0" borderId="0" xfId="0" applyFont="1" applyFill="1" applyAlignment="1">
      <alignment vertical="top"/>
    </xf>
    <xf numFmtId="0" fontId="56" fillId="4" borderId="1" xfId="0" applyFont="1" applyFill="1" applyBorder="1" applyAlignment="1">
      <alignment horizontal="center" vertical="top"/>
    </xf>
    <xf numFmtId="0" fontId="56" fillId="4" borderId="13" xfId="0" applyFont="1" applyFill="1" applyBorder="1" applyAlignment="1">
      <alignment horizontal="center" vertical="top"/>
    </xf>
    <xf numFmtId="0" fontId="56" fillId="4" borderId="2" xfId="0" applyFont="1" applyFill="1" applyBorder="1" applyAlignment="1">
      <alignment horizontal="center" vertical="top"/>
    </xf>
    <xf numFmtId="0" fontId="56" fillId="4" borderId="6" xfId="0" quotePrefix="1" applyFont="1" applyFill="1" applyBorder="1" applyAlignment="1">
      <alignment horizontal="center" vertical="top"/>
    </xf>
    <xf numFmtId="0" fontId="56" fillId="4" borderId="7" xfId="0" applyFont="1" applyFill="1" applyBorder="1" applyAlignment="1">
      <alignment horizontal="center" vertical="top"/>
    </xf>
    <xf numFmtId="0" fontId="56" fillId="4" borderId="8" xfId="0" applyFont="1" applyFill="1" applyBorder="1" applyAlignment="1">
      <alignment horizontal="center" vertical="top"/>
    </xf>
    <xf numFmtId="0" fontId="57" fillId="4" borderId="6" xfId="0" quotePrefix="1" applyFont="1" applyFill="1" applyBorder="1" applyAlignment="1">
      <alignment horizontal="center" vertical="top"/>
    </xf>
    <xf numFmtId="0" fontId="57" fillId="4" borderId="7" xfId="0" applyFont="1" applyFill="1" applyBorder="1" applyAlignment="1">
      <alignment horizontal="center" vertical="top"/>
    </xf>
    <xf numFmtId="0" fontId="57" fillId="4" borderId="8" xfId="0" applyFont="1" applyFill="1" applyBorder="1" applyAlignment="1">
      <alignment horizontal="center" vertical="top"/>
    </xf>
    <xf numFmtId="0" fontId="58" fillId="0" borderId="0" xfId="0" applyFont="1" applyFill="1" applyAlignment="1">
      <alignment vertical="top"/>
    </xf>
    <xf numFmtId="0" fontId="2" fillId="4" borderId="12" xfId="0" applyFont="1" applyFill="1" applyBorder="1" applyAlignment="1">
      <alignment horizontal="center" vertical="top"/>
    </xf>
    <xf numFmtId="0" fontId="2" fillId="4" borderId="14" xfId="0" applyFont="1" applyFill="1" applyBorder="1" applyAlignment="1">
      <alignment horizontal="center" vertical="top"/>
    </xf>
    <xf numFmtId="0" fontId="2" fillId="4" borderId="0" xfId="0" applyFont="1" applyFill="1" applyBorder="1" applyAlignment="1">
      <alignment horizontal="center" vertical="top"/>
    </xf>
    <xf numFmtId="0" fontId="47" fillId="4" borderId="6" xfId="8" applyFill="1" applyBorder="1" applyAlignment="1">
      <alignment horizontal="center" vertical="top"/>
    </xf>
    <xf numFmtId="0" fontId="47" fillId="4" borderId="7" xfId="8" applyFill="1" applyBorder="1" applyAlignment="1">
      <alignment horizontal="center" vertical="top"/>
    </xf>
    <xf numFmtId="0" fontId="47" fillId="4" borderId="8" xfId="8" applyFill="1" applyBorder="1" applyAlignment="1">
      <alignment horizontal="center" vertical="top"/>
    </xf>
    <xf numFmtId="0" fontId="59" fillId="4" borderId="6" xfId="0" applyFont="1" applyFill="1" applyBorder="1" applyAlignment="1">
      <alignment horizontal="center"/>
    </xf>
    <xf numFmtId="0" fontId="59" fillId="4" borderId="7" xfId="0" applyFont="1" applyFill="1" applyBorder="1" applyAlignment="1">
      <alignment horizontal="center"/>
    </xf>
    <xf numFmtId="0" fontId="59" fillId="4" borderId="8" xfId="0" applyFont="1" applyFill="1" applyBorder="1" applyAlignment="1">
      <alignment horizontal="center"/>
    </xf>
    <xf numFmtId="0" fontId="13" fillId="4" borderId="3" xfId="0" quotePrefix="1" applyNumberFormat="1" applyFont="1" applyFill="1" applyBorder="1" applyAlignment="1">
      <alignment horizontal="center" vertical="top"/>
    </xf>
    <xf numFmtId="0" fontId="13" fillId="4" borderId="15" xfId="0" quotePrefix="1" applyNumberFormat="1" applyFont="1" applyFill="1" applyBorder="1" applyAlignment="1">
      <alignment horizontal="center" vertical="top"/>
    </xf>
    <xf numFmtId="0" fontId="13" fillId="4" borderId="15" xfId="0" quotePrefix="1" applyNumberFormat="1" applyFont="1" applyFill="1" applyBorder="1" applyAlignment="1">
      <alignment horizontal="center" vertical="top"/>
    </xf>
    <xf numFmtId="0" fontId="13" fillId="4" borderId="9" xfId="0" quotePrefix="1" applyNumberFormat="1" applyFont="1" applyFill="1" applyBorder="1" applyAlignment="1">
      <alignment horizontal="center" vertical="top"/>
    </xf>
    <xf numFmtId="0" fontId="11" fillId="4" borderId="9" xfId="0" quotePrefix="1" applyNumberFormat="1" applyFont="1" applyFill="1" applyBorder="1" applyAlignment="1">
      <alignment horizontal="center" vertical="top"/>
    </xf>
    <xf numFmtId="0" fontId="0" fillId="0" borderId="0" xfId="0" applyFill="1" applyAlignment="1">
      <alignment horizontal="center" vertical="top"/>
    </xf>
    <xf numFmtId="3" fontId="14" fillId="0" borderId="6" xfId="0" applyNumberFormat="1" applyFont="1" applyFill="1" applyBorder="1" applyAlignment="1">
      <alignment horizontal="left" vertical="top"/>
    </xf>
    <xf numFmtId="3" fontId="14" fillId="0" borderId="8" xfId="0" applyNumberFormat="1" applyFont="1" applyFill="1" applyBorder="1" applyAlignment="1">
      <alignment horizontal="left" vertical="top"/>
    </xf>
    <xf numFmtId="41" fontId="1" fillId="0" borderId="9" xfId="9" applyNumberFormat="1" applyFont="1" applyFill="1" applyBorder="1" applyAlignment="1">
      <alignment vertical="top"/>
    </xf>
    <xf numFmtId="165" fontId="8" fillId="2" borderId="9" xfId="0" quotePrefix="1" applyNumberFormat="1" applyFont="1" applyFill="1" applyBorder="1" applyAlignment="1">
      <alignment horizontal="right" vertical="top"/>
    </xf>
    <xf numFmtId="3" fontId="14" fillId="0" borderId="6" xfId="0" quotePrefix="1" applyNumberFormat="1" applyFont="1" applyFill="1" applyBorder="1" applyAlignment="1">
      <alignment horizontal="left" vertical="top"/>
    </xf>
    <xf numFmtId="3" fontId="13" fillId="0" borderId="6" xfId="0" quotePrefix="1" applyNumberFormat="1" applyFont="1" applyFill="1" applyBorder="1" applyAlignment="1">
      <alignment horizontal="left" vertical="top"/>
    </xf>
    <xf numFmtId="3" fontId="13" fillId="0" borderId="8" xfId="0" applyNumberFormat="1" applyFont="1" applyFill="1" applyBorder="1" applyAlignment="1">
      <alignment horizontal="left" vertical="top"/>
    </xf>
    <xf numFmtId="3" fontId="13" fillId="0" borderId="8" xfId="0" applyNumberFormat="1" applyFont="1" applyFill="1" applyBorder="1" applyAlignment="1">
      <alignment horizontal="left" vertical="top"/>
    </xf>
    <xf numFmtId="41" fontId="2" fillId="0" borderId="9" xfId="9" applyNumberFormat="1" applyFont="1" applyFill="1" applyBorder="1" applyAlignment="1">
      <alignment vertical="top"/>
    </xf>
    <xf numFmtId="165" fontId="11" fillId="2" borderId="9" xfId="0" quotePrefix="1" applyNumberFormat="1" applyFont="1" applyFill="1" applyBorder="1" applyAlignment="1">
      <alignment horizontal="right" vertical="top"/>
    </xf>
    <xf numFmtId="0" fontId="2" fillId="0" borderId="0" xfId="0" applyFont="1" applyFill="1" applyAlignment="1">
      <alignment vertical="top"/>
    </xf>
    <xf numFmtId="3" fontId="19" fillId="0" borderId="1" xfId="0" quotePrefix="1" applyNumberFormat="1" applyFont="1" applyFill="1" applyBorder="1" applyAlignment="1">
      <alignment horizontal="left" vertical="top"/>
    </xf>
    <xf numFmtId="3" fontId="19" fillId="0" borderId="13" xfId="0" quotePrefix="1" applyNumberFormat="1" applyFont="1" applyFill="1" applyBorder="1" applyAlignment="1">
      <alignment horizontal="left" vertical="top"/>
    </xf>
    <xf numFmtId="3" fontId="19" fillId="0" borderId="13" xfId="0" quotePrefix="1" applyNumberFormat="1" applyFont="1" applyFill="1" applyBorder="1" applyAlignment="1">
      <alignment horizontal="left" vertical="top"/>
    </xf>
    <xf numFmtId="3" fontId="19" fillId="0" borderId="5" xfId="0" applyNumberFormat="1" applyFont="1" applyFill="1" applyBorder="1" applyAlignment="1">
      <alignment horizontal="right" vertical="top"/>
    </xf>
    <xf numFmtId="3" fontId="19" fillId="2" borderId="5" xfId="0" applyNumberFormat="1" applyFont="1" applyFill="1" applyBorder="1" applyAlignment="1">
      <alignment horizontal="right" vertical="top"/>
    </xf>
    <xf numFmtId="0" fontId="60" fillId="0" borderId="0" xfId="0" applyFont="1" applyFill="1" applyBorder="1" applyAlignment="1">
      <alignment vertical="top"/>
    </xf>
    <xf numFmtId="3" fontId="19" fillId="0" borderId="3" xfId="0" quotePrefix="1" applyNumberFormat="1" applyFont="1" applyFill="1" applyBorder="1" applyAlignment="1">
      <alignment horizontal="left" vertical="top"/>
    </xf>
    <xf numFmtId="3" fontId="19" fillId="0" borderId="15" xfId="0" quotePrefix="1" applyNumberFormat="1" applyFont="1" applyFill="1" applyBorder="1" applyAlignment="1">
      <alignment horizontal="left" vertical="top"/>
    </xf>
    <xf numFmtId="3" fontId="19" fillId="0" borderId="15" xfId="0" quotePrefix="1" applyNumberFormat="1" applyFont="1" applyFill="1" applyBorder="1" applyAlignment="1">
      <alignment horizontal="left" vertical="top"/>
    </xf>
    <xf numFmtId="3" fontId="19" fillId="0" borderId="10" xfId="0" applyNumberFormat="1" applyFont="1" applyFill="1" applyBorder="1" applyAlignment="1">
      <alignment horizontal="right" vertical="top"/>
    </xf>
    <xf numFmtId="165" fontId="19" fillId="2" borderId="10" xfId="0" applyNumberFormat="1" applyFont="1" applyFill="1" applyBorder="1" applyAlignment="1">
      <alignment horizontal="right" vertical="top"/>
    </xf>
    <xf numFmtId="0" fontId="56" fillId="4" borderId="13" xfId="0" applyFont="1" applyFill="1" applyBorder="1" applyAlignment="1">
      <alignment horizontal="center" vertical="top"/>
    </xf>
    <xf numFmtId="0" fontId="56" fillId="4" borderId="9" xfId="0" quotePrefix="1" applyFont="1" applyFill="1" applyBorder="1" applyAlignment="1">
      <alignment horizontal="center" vertical="top"/>
    </xf>
    <xf numFmtId="0" fontId="56" fillId="4" borderId="9" xfId="0" applyFont="1" applyFill="1" applyBorder="1" applyAlignment="1">
      <alignment horizontal="center" vertical="top"/>
    </xf>
    <xf numFmtId="0" fontId="57" fillId="4" borderId="9" xfId="0" quotePrefix="1" applyFont="1" applyFill="1" applyBorder="1" applyAlignment="1">
      <alignment horizontal="center" vertical="top"/>
    </xf>
    <xf numFmtId="0" fontId="57" fillId="4" borderId="9" xfId="0" applyFont="1" applyFill="1" applyBorder="1" applyAlignment="1">
      <alignment horizontal="center" vertical="top"/>
    </xf>
    <xf numFmtId="0" fontId="13" fillId="4" borderId="9" xfId="0" applyNumberFormat="1" applyFont="1" applyFill="1" applyBorder="1" applyAlignment="1">
      <alignment horizontal="center" vertical="top"/>
    </xf>
    <xf numFmtId="0" fontId="13" fillId="4" borderId="9" xfId="0" applyFont="1" applyFill="1" applyBorder="1" applyAlignment="1">
      <alignment horizontal="center" vertical="top"/>
    </xf>
    <xf numFmtId="0" fontId="11" fillId="4" borderId="9" xfId="0" applyNumberFormat="1" applyFont="1" applyFill="1" applyBorder="1" applyAlignment="1">
      <alignment horizontal="center" vertical="top"/>
    </xf>
    <xf numFmtId="0" fontId="11" fillId="4" borderId="9" xfId="0" applyFont="1" applyFill="1" applyBorder="1" applyAlignment="1">
      <alignment horizontal="center" vertical="top"/>
    </xf>
    <xf numFmtId="168" fontId="60" fillId="0" borderId="5" xfId="0" applyNumberFormat="1" applyFont="1" applyFill="1" applyBorder="1" applyAlignment="1">
      <alignment vertical="top"/>
    </xf>
    <xf numFmtId="168" fontId="60" fillId="2" borderId="5" xfId="0" applyNumberFormat="1" applyFont="1" applyFill="1" applyBorder="1" applyAlignment="1">
      <alignment vertical="top"/>
    </xf>
    <xf numFmtId="0" fontId="47" fillId="4" borderId="6" xfId="8" quotePrefix="1" applyFill="1" applyBorder="1" applyAlignment="1">
      <alignment horizontal="center" vertical="top"/>
    </xf>
    <xf numFmtId="0" fontId="47" fillId="4" borderId="7" xfId="8" quotePrefix="1" applyFill="1" applyBorder="1" applyAlignment="1">
      <alignment horizontal="center" vertical="top"/>
    </xf>
    <xf numFmtId="0" fontId="47" fillId="4" borderId="8" xfId="8" quotePrefix="1" applyFill="1" applyBorder="1" applyAlignment="1">
      <alignment horizontal="center" vertical="top"/>
    </xf>
    <xf numFmtId="0" fontId="61" fillId="4" borderId="9" xfId="0" applyFont="1" applyFill="1" applyBorder="1" applyAlignment="1">
      <alignment horizontal="center" vertical="top"/>
    </xf>
    <xf numFmtId="0" fontId="0" fillId="0" borderId="9" xfId="0" applyFill="1" applyBorder="1" applyAlignment="1">
      <alignment horizontal="center" vertical="top"/>
    </xf>
    <xf numFmtId="168" fontId="1" fillId="0" borderId="9" xfId="9" applyNumberFormat="1" applyFont="1" applyBorder="1" applyAlignment="1">
      <alignment vertical="top"/>
    </xf>
    <xf numFmtId="0" fontId="59" fillId="2" borderId="9" xfId="0" applyFont="1" applyFill="1" applyBorder="1" applyAlignment="1">
      <alignment horizontal="center" vertical="top"/>
    </xf>
    <xf numFmtId="177" fontId="59" fillId="2" borderId="9" xfId="9" applyNumberFormat="1" applyFont="1" applyFill="1" applyBorder="1" applyAlignment="1">
      <alignment vertical="top"/>
    </xf>
    <xf numFmtId="168" fontId="0" fillId="0" borderId="9" xfId="9" applyNumberFormat="1" applyFont="1" applyBorder="1"/>
    <xf numFmtId="0" fontId="60" fillId="0" borderId="5" xfId="0" applyFont="1" applyFill="1" applyBorder="1" applyAlignment="1">
      <alignment horizontal="center" vertical="top"/>
    </xf>
    <xf numFmtId="0" fontId="60" fillId="2" borderId="5" xfId="0" applyFont="1" applyFill="1" applyBorder="1" applyAlignment="1">
      <alignment horizontal="center" vertical="top"/>
    </xf>
    <xf numFmtId="0" fontId="60" fillId="0" borderId="10" xfId="0" applyFont="1" applyFill="1" applyBorder="1" applyAlignment="1">
      <alignment horizontal="center" vertical="top"/>
    </xf>
    <xf numFmtId="0" fontId="60" fillId="2" borderId="10" xfId="0" applyFont="1" applyFill="1" applyBorder="1" applyAlignment="1">
      <alignment horizontal="center" vertical="top"/>
    </xf>
    <xf numFmtId="3" fontId="19" fillId="2" borderId="10" xfId="0" applyNumberFormat="1" applyFont="1" applyFill="1" applyBorder="1" applyAlignment="1">
      <alignment horizontal="right" vertical="top"/>
    </xf>
    <xf numFmtId="0" fontId="62" fillId="4" borderId="9" xfId="2" quotePrefix="1" applyFont="1" applyFill="1" applyBorder="1" applyAlignment="1">
      <alignment horizontal="center" vertical="top" wrapText="1"/>
    </xf>
    <xf numFmtId="0" fontId="62" fillId="4" borderId="6" xfId="2" quotePrefix="1" applyFont="1" applyFill="1" applyBorder="1" applyAlignment="1">
      <alignment horizontal="center" vertical="top" wrapText="1"/>
    </xf>
    <xf numFmtId="0" fontId="62" fillId="4" borderId="7" xfId="2" quotePrefix="1" applyFont="1" applyFill="1" applyBorder="1" applyAlignment="1">
      <alignment horizontal="center" vertical="top" wrapText="1"/>
    </xf>
    <xf numFmtId="0" fontId="62" fillId="4" borderId="8" xfId="2" quotePrefix="1" applyFont="1" applyFill="1" applyBorder="1" applyAlignment="1">
      <alignment horizontal="center" vertical="top" wrapText="1"/>
    </xf>
    <xf numFmtId="0" fontId="19" fillId="4" borderId="6" xfId="2" quotePrefix="1" applyFont="1" applyFill="1" applyBorder="1" applyAlignment="1">
      <alignment horizontal="center" vertical="top" wrapText="1"/>
    </xf>
    <xf numFmtId="0" fontId="19" fillId="4" borderId="7" xfId="2" quotePrefix="1" applyFont="1" applyFill="1" applyBorder="1" applyAlignment="1">
      <alignment horizontal="center" vertical="top" wrapText="1"/>
    </xf>
    <xf numFmtId="0" fontId="19" fillId="4" borderId="8" xfId="2" quotePrefix="1" applyFont="1" applyFill="1" applyBorder="1" applyAlignment="1">
      <alignment horizontal="center" vertical="top" wrapText="1"/>
    </xf>
    <xf numFmtId="168" fontId="59" fillId="2" borderId="9" xfId="9" applyNumberFormat="1" applyFont="1" applyFill="1" applyBorder="1" applyAlignment="1">
      <alignment vertical="top"/>
    </xf>
    <xf numFmtId="168" fontId="60" fillId="2" borderId="5" xfId="9" applyNumberFormat="1" applyFont="1" applyFill="1" applyBorder="1" applyAlignment="1">
      <alignment vertical="top"/>
    </xf>
    <xf numFmtId="177" fontId="60" fillId="2" borderId="5" xfId="9" applyNumberFormat="1" applyFont="1" applyFill="1" applyBorder="1" applyAlignment="1">
      <alignment vertical="top"/>
    </xf>
    <xf numFmtId="0" fontId="0" fillId="0" borderId="0" xfId="0" applyFill="1" applyBorder="1" applyAlignment="1">
      <alignment vertical="top"/>
    </xf>
    <xf numFmtId="168" fontId="60" fillId="2" borderId="10" xfId="9" applyNumberFormat="1" applyFont="1" applyFill="1" applyBorder="1" applyAlignment="1">
      <alignment vertical="top"/>
    </xf>
    <xf numFmtId="177" fontId="59" fillId="2" borderId="10" xfId="9" applyNumberFormat="1" applyFont="1" applyFill="1" applyBorder="1" applyAlignment="1">
      <alignment vertical="top"/>
    </xf>
    <xf numFmtId="3" fontId="19" fillId="0" borderId="0" xfId="0" quotePrefix="1" applyNumberFormat="1" applyFont="1" applyFill="1" applyBorder="1" applyAlignment="1">
      <alignment horizontal="left" vertical="top"/>
    </xf>
    <xf numFmtId="0" fontId="60" fillId="0" borderId="0" xfId="0" applyFont="1" applyFill="1" applyBorder="1" applyAlignment="1">
      <alignment horizontal="center" vertical="top"/>
    </xf>
    <xf numFmtId="168" fontId="60" fillId="0" borderId="0" xfId="9" applyNumberFormat="1" applyFont="1" applyFill="1" applyBorder="1" applyAlignment="1">
      <alignment vertical="top"/>
    </xf>
    <xf numFmtId="177" fontId="59" fillId="0" borderId="0" xfId="9" applyNumberFormat="1" applyFont="1" applyFill="1" applyBorder="1" applyAlignment="1">
      <alignment vertical="top"/>
    </xf>
    <xf numFmtId="0" fontId="60" fillId="0" borderId="0" xfId="0" applyFont="1" applyFill="1" applyAlignment="1">
      <alignment vertical="top"/>
    </xf>
    <xf numFmtId="0" fontId="33" fillId="0" borderId="9" xfId="0" applyFont="1" applyFill="1" applyBorder="1" applyAlignment="1">
      <alignment horizontal="center" vertical="top"/>
    </xf>
    <xf numFmtId="0" fontId="33" fillId="0" borderId="0" xfId="0" applyFont="1" applyFill="1" applyAlignment="1">
      <alignment vertical="top"/>
    </xf>
    <xf numFmtId="0" fontId="62" fillId="4" borderId="9" xfId="0" quotePrefix="1" applyFont="1" applyFill="1" applyBorder="1" applyAlignment="1">
      <alignment horizontal="center" vertical="top"/>
    </xf>
    <xf numFmtId="0" fontId="57" fillId="4" borderId="6" xfId="0" quotePrefix="1" applyFont="1" applyFill="1" applyBorder="1" applyAlignment="1">
      <alignment horizontal="center" vertical="top" wrapText="1"/>
    </xf>
    <xf numFmtId="0" fontId="57" fillId="4" borderId="7" xfId="0" quotePrefix="1" applyFont="1" applyFill="1" applyBorder="1" applyAlignment="1">
      <alignment horizontal="center" vertical="top" wrapText="1"/>
    </xf>
    <xf numFmtId="0" fontId="57" fillId="4" borderId="8" xfId="0" quotePrefix="1" applyFont="1" applyFill="1" applyBorder="1" applyAlignment="1">
      <alignment horizontal="center" vertical="top" wrapText="1"/>
    </xf>
    <xf numFmtId="0" fontId="2" fillId="4" borderId="14" xfId="0" applyFont="1" applyFill="1" applyBorder="1" applyAlignment="1">
      <alignment horizontal="center" vertical="top"/>
    </xf>
    <xf numFmtId="0" fontId="19" fillId="4" borderId="9" xfId="2" quotePrefix="1" applyFont="1" applyFill="1" applyBorder="1" applyAlignment="1">
      <alignment horizontal="center" vertical="top" wrapText="1"/>
    </xf>
    <xf numFmtId="0" fontId="61" fillId="4" borderId="9" xfId="0" applyFont="1" applyFill="1" applyBorder="1" applyAlignment="1">
      <alignment horizontal="center" vertical="top" wrapText="1"/>
    </xf>
    <xf numFmtId="3" fontId="14" fillId="2" borderId="8" xfId="0" applyNumberFormat="1" applyFont="1" applyFill="1" applyBorder="1" applyAlignment="1">
      <alignment horizontal="left" vertical="top"/>
    </xf>
    <xf numFmtId="0" fontId="59" fillId="2" borderId="9" xfId="0" applyFont="1" applyFill="1" applyBorder="1" applyAlignment="1">
      <alignment vertical="top"/>
    </xf>
    <xf numFmtId="167" fontId="59" fillId="2" borderId="9" xfId="0" applyNumberFormat="1" applyFont="1" applyFill="1" applyBorder="1" applyAlignment="1">
      <alignment vertical="top"/>
    </xf>
    <xf numFmtId="166" fontId="59" fillId="2" borderId="9" xfId="1" applyNumberFormat="1" applyFont="1" applyFill="1" applyBorder="1" applyAlignment="1">
      <alignment vertical="top"/>
    </xf>
    <xf numFmtId="3" fontId="19" fillId="2" borderId="13" xfId="0" quotePrefix="1" applyNumberFormat="1" applyFont="1" applyFill="1" applyBorder="1" applyAlignment="1">
      <alignment horizontal="left" vertical="top"/>
    </xf>
    <xf numFmtId="0" fontId="60" fillId="2" borderId="5" xfId="0" applyFont="1" applyFill="1" applyBorder="1" applyAlignment="1">
      <alignment vertical="top"/>
    </xf>
    <xf numFmtId="166" fontId="59" fillId="2" borderId="5" xfId="1" applyNumberFormat="1" applyFont="1" applyFill="1" applyBorder="1" applyAlignment="1">
      <alignment vertical="top"/>
    </xf>
    <xf numFmtId="3" fontId="19" fillId="2" borderId="15" xfId="0" quotePrefix="1" applyNumberFormat="1" applyFont="1" applyFill="1" applyBorder="1" applyAlignment="1">
      <alignment horizontal="left" vertical="top"/>
    </xf>
    <xf numFmtId="0" fontId="59" fillId="2" borderId="10" xfId="0" applyFont="1" applyFill="1" applyBorder="1" applyAlignment="1">
      <alignment vertical="top"/>
    </xf>
    <xf numFmtId="167" fontId="59" fillId="2" borderId="10" xfId="0" applyNumberFormat="1" applyFont="1" applyFill="1" applyBorder="1" applyAlignment="1">
      <alignment vertical="top"/>
    </xf>
    <xf numFmtId="166" fontId="59" fillId="2" borderId="10" xfId="1" applyNumberFormat="1" applyFont="1" applyFill="1" applyBorder="1" applyAlignment="1">
      <alignment vertical="top"/>
    </xf>
    <xf numFmtId="168" fontId="36" fillId="0" borderId="0" xfId="0" applyNumberFormat="1" applyFont="1" applyFill="1" applyAlignment="1">
      <alignment vertical="top"/>
    </xf>
    <xf numFmtId="168" fontId="36" fillId="0" borderId="0" xfId="9" applyNumberFormat="1" applyFont="1" applyFill="1" applyAlignment="1">
      <alignment vertical="top"/>
    </xf>
    <xf numFmtId="0" fontId="37" fillId="0" borderId="0" xfId="0" quotePrefix="1" applyFont="1" applyAlignment="1">
      <alignment horizontal="left"/>
    </xf>
    <xf numFmtId="0" fontId="4" fillId="0" borderId="0" xfId="0" quotePrefix="1" applyFont="1" applyAlignment="1">
      <alignment horizontal="left"/>
    </xf>
    <xf numFmtId="0" fontId="63" fillId="8" borderId="13" xfId="2" applyFont="1" applyFill="1" applyBorder="1" applyAlignment="1">
      <alignment horizontal="center" vertical="center"/>
    </xf>
    <xf numFmtId="0" fontId="63" fillId="8" borderId="15" xfId="2" applyFont="1" applyFill="1" applyBorder="1" applyAlignment="1">
      <alignment horizontal="center" vertical="center"/>
    </xf>
    <xf numFmtId="3" fontId="14" fillId="0" borderId="6" xfId="0" quotePrefix="1" applyNumberFormat="1" applyFont="1" applyFill="1" applyBorder="1" applyAlignment="1">
      <alignment vertical="top"/>
    </xf>
    <xf numFmtId="178" fontId="14" fillId="2" borderId="9" xfId="0" applyNumberFormat="1" applyFont="1" applyFill="1" applyBorder="1" applyAlignment="1">
      <alignment vertical="top"/>
    </xf>
    <xf numFmtId="178" fontId="7" fillId="2" borderId="9" xfId="4" applyNumberFormat="1" applyFont="1" applyFill="1" applyBorder="1" applyAlignment="1">
      <alignment vertical="top"/>
    </xf>
    <xf numFmtId="164" fontId="7" fillId="2" borderId="9" xfId="2" applyNumberFormat="1" applyFont="1" applyFill="1" applyBorder="1"/>
    <xf numFmtId="3" fontId="14" fillId="0" borderId="6" xfId="0" quotePrefix="1" applyNumberFormat="1" applyFont="1" applyFill="1" applyBorder="1" applyAlignment="1">
      <alignment horizontal="left" vertical="top"/>
    </xf>
    <xf numFmtId="178" fontId="13" fillId="2" borderId="9" xfId="0" applyNumberFormat="1" applyFont="1" applyFill="1" applyBorder="1" applyAlignment="1">
      <alignment vertical="top"/>
    </xf>
    <xf numFmtId="178" fontId="10" fillId="2" borderId="9" xfId="4" applyNumberFormat="1" applyFont="1" applyFill="1" applyBorder="1" applyAlignment="1">
      <alignment vertical="top"/>
    </xf>
    <xf numFmtId="164" fontId="10" fillId="2" borderId="9" xfId="2" applyNumberFormat="1" applyFont="1" applyFill="1" applyBorder="1"/>
    <xf numFmtId="164" fontId="18" fillId="0" borderId="0" xfId="2" applyNumberFormat="1" applyFont="1" applyAlignment="1">
      <alignment vertical="top"/>
    </xf>
    <xf numFmtId="164" fontId="18" fillId="0" borderId="0" xfId="9" applyNumberFormat="1" applyFont="1" applyAlignment="1">
      <alignment vertical="top"/>
    </xf>
    <xf numFmtId="178" fontId="18" fillId="0" borderId="0" xfId="2" applyNumberFormat="1" applyFont="1" applyAlignment="1">
      <alignment vertical="top"/>
    </xf>
    <xf numFmtId="0" fontId="22" fillId="4" borderId="6" xfId="2" quotePrefix="1" applyFont="1" applyFill="1" applyBorder="1" applyAlignment="1">
      <alignment horizontal="center" vertical="top" wrapText="1"/>
    </xf>
    <xf numFmtId="0" fontId="22" fillId="4" borderId="8" xfId="2" quotePrefix="1" applyFont="1" applyFill="1" applyBorder="1" applyAlignment="1">
      <alignment horizontal="center" vertical="top" wrapText="1"/>
    </xf>
    <xf numFmtId="0" fontId="64" fillId="4" borderId="9" xfId="2" quotePrefix="1" applyFont="1" applyFill="1" applyBorder="1" applyAlignment="1">
      <alignment horizontal="center" vertical="top" wrapText="1"/>
    </xf>
    <xf numFmtId="166" fontId="64" fillId="4" borderId="9" xfId="2" quotePrefix="1" applyNumberFormat="1" applyFont="1" applyFill="1" applyBorder="1" applyAlignment="1">
      <alignment horizontal="center" vertical="top" wrapText="1"/>
    </xf>
    <xf numFmtId="10" fontId="23" fillId="2" borderId="9" xfId="4" applyNumberFormat="1" applyFont="1" applyFill="1" applyBorder="1"/>
    <xf numFmtId="0" fontId="0" fillId="0" borderId="0" xfId="0" applyBorder="1"/>
    <xf numFmtId="0" fontId="63" fillId="0" borderId="0" xfId="2" applyFont="1" applyFill="1" applyBorder="1" applyAlignment="1">
      <alignment vertical="center"/>
    </xf>
    <xf numFmtId="0" fontId="63" fillId="8" borderId="9" xfId="2" applyFont="1" applyFill="1" applyBorder="1" applyAlignment="1">
      <alignment horizontal="center" vertical="center"/>
    </xf>
    <xf numFmtId="166" fontId="14" fillId="2" borderId="9" xfId="4" applyNumberFormat="1" applyFont="1" applyFill="1" applyBorder="1"/>
    <xf numFmtId="10" fontId="4" fillId="2" borderId="9" xfId="4" applyNumberFormat="1" applyFont="1" applyFill="1" applyBorder="1"/>
    <xf numFmtId="0" fontId="13" fillId="0" borderId="9" xfId="2" quotePrefix="1" applyFont="1" applyFill="1" applyBorder="1" applyAlignment="1">
      <alignment horizontal="left" vertical="top"/>
    </xf>
    <xf numFmtId="166" fontId="13" fillId="2" borderId="9" xfId="4" applyNumberFormat="1" applyFont="1" applyFill="1" applyBorder="1"/>
    <xf numFmtId="0" fontId="63" fillId="8" borderId="9" xfId="0" quotePrefix="1" applyFont="1" applyFill="1" applyBorder="1" applyAlignment="1">
      <alignment horizontal="center" vertical="top" wrapText="1"/>
    </xf>
    <xf numFmtId="166" fontId="13" fillId="0" borderId="9" xfId="4" applyNumberFormat="1" applyFont="1" applyBorder="1"/>
    <xf numFmtId="0" fontId="0" fillId="0" borderId="0" xfId="0" applyAlignment="1">
      <alignment horizontal="center"/>
    </xf>
    <xf numFmtId="0" fontId="2" fillId="4" borderId="9" xfId="0" quotePrefix="1" applyFont="1" applyFill="1" applyBorder="1" applyAlignment="1">
      <alignment horizontal="center" vertical="top" wrapText="1"/>
    </xf>
    <xf numFmtId="4" fontId="7" fillId="2" borderId="9" xfId="0" applyNumberFormat="1" applyFont="1" applyFill="1" applyBorder="1" applyAlignment="1">
      <alignment horizontal="right" vertical="top"/>
    </xf>
    <xf numFmtId="165" fontId="7" fillId="2" borderId="9" xfId="0" applyNumberFormat="1" applyFont="1" applyFill="1" applyBorder="1" applyAlignment="1">
      <alignment horizontal="right" vertical="top"/>
    </xf>
    <xf numFmtId="2" fontId="0" fillId="0" borderId="0" xfId="0" applyNumberFormat="1"/>
    <xf numFmtId="2" fontId="0" fillId="0" borderId="9" xfId="0" applyNumberFormat="1" applyFont="1" applyBorder="1"/>
    <xf numFmtId="0" fontId="0" fillId="0" borderId="9" xfId="0" applyFont="1" applyBorder="1"/>
    <xf numFmtId="165" fontId="0" fillId="0" borderId="9" xfId="0" applyNumberFormat="1" applyFont="1" applyBorder="1" applyAlignment="1">
      <alignment horizontal="right" vertical="top"/>
    </xf>
    <xf numFmtId="170" fontId="0" fillId="0" borderId="9" xfId="0" applyNumberFormat="1" applyFont="1" applyBorder="1" applyAlignment="1">
      <alignment horizontal="right" vertical="top"/>
    </xf>
    <xf numFmtId="170" fontId="0" fillId="0" borderId="9" xfId="0" applyNumberFormat="1" applyFont="1" applyBorder="1"/>
    <xf numFmtId="0" fontId="32" fillId="0" borderId="0" xfId="0" applyFont="1" applyFill="1"/>
    <xf numFmtId="0" fontId="2" fillId="0" borderId="0" xfId="0" applyFont="1" applyFill="1"/>
    <xf numFmtId="165" fontId="0" fillId="0" borderId="9" xfId="0" applyNumberFormat="1" applyFont="1" applyBorder="1"/>
    <xf numFmtId="0" fontId="33" fillId="0" borderId="0" xfId="0" applyFont="1"/>
    <xf numFmtId="0" fontId="54" fillId="8" borderId="9" xfId="0" applyFont="1" applyFill="1" applyBorder="1" applyAlignment="1">
      <alignment horizontal="center"/>
    </xf>
    <xf numFmtId="0" fontId="2" fillId="18" borderId="9" xfId="0" applyFont="1" applyFill="1" applyBorder="1" applyAlignment="1">
      <alignment horizontal="center"/>
    </xf>
    <xf numFmtId="0" fontId="0" fillId="0" borderId="6" xfId="0" quotePrefix="1" applyBorder="1" applyAlignment="1">
      <alignment horizontal="left" wrapText="1"/>
    </xf>
    <xf numFmtId="0" fontId="0" fillId="0" borderId="6" xfId="0" quotePrefix="1" applyBorder="1" applyAlignment="1">
      <alignment horizontal="left"/>
    </xf>
  </cellXfs>
  <cellStyles count="10">
    <cellStyle name="Comma" xfId="9" builtinId="3"/>
    <cellStyle name="Comma 2" xfId="3"/>
    <cellStyle name="Comma 3" xfId="7"/>
    <cellStyle name="Hyperlink" xfId="6" builtinId="8"/>
    <cellStyle name="Hyperlink 2" xfId="8"/>
    <cellStyle name="Normal" xfId="0" builtinId="0"/>
    <cellStyle name="Normal 2" xfId="2"/>
    <cellStyle name="Normal 3" xfId="5"/>
    <cellStyle name="Percent" xfId="1" builtinId="5"/>
    <cellStyle name="Percent 2" xfId="4"/>
  </cellStyles>
  <dxfs count="0"/>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employment1'!$B$6</c:f>
              <c:numCache>
                <c:formatCode>0.0</c:formatCode>
                <c:ptCount val="1"/>
                <c:pt idx="0">
                  <c:v>3.2392926158093616</c:v>
                </c:pt>
              </c:numCache>
            </c:numRef>
          </c:xVal>
          <c:yVal>
            <c:numRef>
              <c:f>'Rel. prod. cf employment1'!$C$6</c:f>
              <c:numCache>
                <c:formatCode>0.0</c:formatCode>
                <c:ptCount val="1"/>
                <c:pt idx="0">
                  <c:v>0.48732110774606419</c:v>
                </c:pt>
              </c:numCache>
            </c:numRef>
          </c:yVal>
          <c:bubbleSize>
            <c:numRef>
              <c:f>'Rel. prod. cf employment1'!$E$6</c:f>
              <c:numCache>
                <c:formatCode>#,##0</c:formatCode>
                <c:ptCount val="1"/>
                <c:pt idx="0">
                  <c:v>26154.355605013887</c:v>
                </c:pt>
              </c:numCache>
            </c:numRef>
          </c:bubbleSize>
          <c:bubble3D val="1"/>
        </c:ser>
        <c:ser>
          <c:idx val="2"/>
          <c:order val="1"/>
          <c:tx>
            <c:v>Manufacturing</c:v>
          </c:tx>
          <c:spPr>
            <a:solidFill>
              <a:srgbClr val="00B050"/>
            </a:solidFill>
            <a:ln w="25400">
              <a:noFill/>
            </a:ln>
          </c:spPr>
          <c:invertIfNegative val="0"/>
          <c:xVal>
            <c:numRef>
              <c:f>'Rel. prod. cf employment1'!$B$8</c:f>
              <c:numCache>
                <c:formatCode>0.0</c:formatCode>
                <c:ptCount val="1"/>
                <c:pt idx="0">
                  <c:v>-5.938881332382091</c:v>
                </c:pt>
              </c:numCache>
            </c:numRef>
          </c:xVal>
          <c:yVal>
            <c:numRef>
              <c:f>'Rel. prod. cf employment1'!$C$8</c:f>
              <c:numCache>
                <c:formatCode>0.0</c:formatCode>
                <c:ptCount val="1"/>
                <c:pt idx="0">
                  <c:v>0.55681897958711912</c:v>
                </c:pt>
              </c:numCache>
            </c:numRef>
          </c:yVal>
          <c:bubbleSize>
            <c:numRef>
              <c:f>'Rel. prod. cf employment1'!$E$8</c:f>
              <c:numCache>
                <c:formatCode>#,##0</c:formatCode>
                <c:ptCount val="1"/>
                <c:pt idx="0">
                  <c:v>1683.6535185076202</c:v>
                </c:pt>
              </c:numCache>
            </c:numRef>
          </c:bubbleSize>
          <c:bubble3D val="1"/>
        </c:ser>
        <c:ser>
          <c:idx val="3"/>
          <c:order val="2"/>
          <c:tx>
            <c:v>Utilities</c:v>
          </c:tx>
          <c:spPr>
            <a:solidFill>
              <a:srgbClr val="FF0000"/>
            </a:solidFill>
            <a:ln w="25400">
              <a:noFill/>
            </a:ln>
          </c:spPr>
          <c:invertIfNegative val="0"/>
          <c:xVal>
            <c:numRef>
              <c:f>'Rel. prod. cf employment1'!$B$9</c:f>
              <c:numCache>
                <c:formatCode>0.0</c:formatCode>
                <c:ptCount val="1"/>
                <c:pt idx="0">
                  <c:v>2.782853075490227E-3</c:v>
                </c:pt>
              </c:numCache>
            </c:numRef>
          </c:xVal>
          <c:yVal>
            <c:numRef>
              <c:f>'Rel. prod. cf employment1'!$C$9</c:f>
              <c:numCache>
                <c:formatCode>0.0</c:formatCode>
                <c:ptCount val="1"/>
                <c:pt idx="0">
                  <c:v>0.68649531119028395</c:v>
                </c:pt>
              </c:numCache>
            </c:numRef>
          </c:yVal>
          <c:bubbleSize>
            <c:numRef>
              <c:f>'Rel. prod. cf employment1'!$E$9</c:f>
              <c:numCache>
                <c:formatCode>#,##0</c:formatCode>
                <c:ptCount val="1"/>
                <c:pt idx="0">
                  <c:v>56.012643108580427</c:v>
                </c:pt>
              </c:numCache>
            </c:numRef>
          </c:bubbleSize>
          <c:bubble3D val="1"/>
        </c:ser>
        <c:ser>
          <c:idx val="4"/>
          <c:order val="3"/>
          <c:tx>
            <c:v>Construction</c:v>
          </c:tx>
          <c:spPr>
            <a:solidFill>
              <a:srgbClr val="6600FF"/>
            </a:solidFill>
            <a:ln w="25400">
              <a:noFill/>
            </a:ln>
          </c:spPr>
          <c:invertIfNegative val="0"/>
          <c:xVal>
            <c:numRef>
              <c:f>'Rel. prod. cf employment1'!$B$10</c:f>
              <c:numCache>
                <c:formatCode>0.0</c:formatCode>
                <c:ptCount val="1"/>
                <c:pt idx="0">
                  <c:v>0.26201447822285395</c:v>
                </c:pt>
              </c:numCache>
            </c:numRef>
          </c:xVal>
          <c:yVal>
            <c:numRef>
              <c:f>'Rel. prod. cf employment1'!$C$10</c:f>
              <c:numCache>
                <c:formatCode>0.0</c:formatCode>
                <c:ptCount val="1"/>
                <c:pt idx="0">
                  <c:v>1.7429739728252533</c:v>
                </c:pt>
              </c:numCache>
            </c:numRef>
          </c:yVal>
          <c:bubbleSize>
            <c:numRef>
              <c:f>'Rel. prod. cf employment1'!$E$10</c:f>
              <c:numCache>
                <c:formatCode>#,##0</c:formatCode>
                <c:ptCount val="1"/>
                <c:pt idx="0">
                  <c:v>315.81055012490287</c:v>
                </c:pt>
              </c:numCache>
            </c:numRef>
          </c:bubbleSize>
          <c:bubble3D val="1"/>
        </c:ser>
        <c:ser>
          <c:idx val="5"/>
          <c:order val="4"/>
          <c:tx>
            <c:v>Trade services</c:v>
          </c:tx>
          <c:spPr>
            <a:solidFill>
              <a:srgbClr val="66FFFF"/>
            </a:solidFill>
            <a:ln w="25400">
              <a:noFill/>
            </a:ln>
          </c:spPr>
          <c:invertIfNegative val="0"/>
          <c:xVal>
            <c:numRef>
              <c:f>'Rel. prod. cf employment1'!$B$11</c:f>
              <c:numCache>
                <c:formatCode>0.0</c:formatCode>
                <c:ptCount val="1"/>
                <c:pt idx="0">
                  <c:v>-1.1944445442326703</c:v>
                </c:pt>
              </c:numCache>
            </c:numRef>
          </c:xVal>
          <c:yVal>
            <c:numRef>
              <c:f>'Rel. prod. cf employment1'!$C$11</c:f>
              <c:numCache>
                <c:formatCode>0.0</c:formatCode>
                <c:ptCount val="1"/>
                <c:pt idx="0">
                  <c:v>1.0816163578661127</c:v>
                </c:pt>
              </c:numCache>
            </c:numRef>
          </c:yVal>
          <c:bubbleSize>
            <c:numRef>
              <c:f>'Rel. prod. cf employment1'!$E$11</c:f>
              <c:numCache>
                <c:formatCode>#,##0</c:formatCode>
                <c:ptCount val="1"/>
                <c:pt idx="0">
                  <c:v>3354.6454697835329</c:v>
                </c:pt>
              </c:numCache>
            </c:numRef>
          </c:bubbleSize>
          <c:bubble3D val="1"/>
        </c:ser>
        <c:ser>
          <c:idx val="6"/>
          <c:order val="5"/>
          <c:tx>
            <c:v>Transport services</c:v>
          </c:tx>
          <c:spPr>
            <a:solidFill>
              <a:srgbClr val="FF00FF"/>
            </a:solidFill>
            <a:ln w="25400">
              <a:noFill/>
            </a:ln>
          </c:spPr>
          <c:invertIfNegative val="0"/>
          <c:xVal>
            <c:numRef>
              <c:f>'Rel. prod. cf employment1'!$B$12</c:f>
              <c:numCache>
                <c:formatCode>0.0</c:formatCode>
                <c:ptCount val="1"/>
                <c:pt idx="0">
                  <c:v>0.19245100508052837</c:v>
                </c:pt>
              </c:numCache>
            </c:numRef>
          </c:xVal>
          <c:yVal>
            <c:numRef>
              <c:f>'Rel. prod. cf employment1'!$C$12</c:f>
              <c:numCache>
                <c:formatCode>0.0</c:formatCode>
                <c:ptCount val="1"/>
                <c:pt idx="0">
                  <c:v>0.8275663175965422</c:v>
                </c:pt>
              </c:numCache>
            </c:numRef>
          </c:yVal>
          <c:bubbleSize>
            <c:numRef>
              <c:f>'Rel. prod. cf employment1'!$E$12</c:f>
              <c:numCache>
                <c:formatCode>#,##0</c:formatCode>
                <c:ptCount val="1"/>
                <c:pt idx="0">
                  <c:v>263.12355671513865</c:v>
                </c:pt>
              </c:numCache>
            </c:numRef>
          </c:bubbleSize>
          <c:bubble3D val="1"/>
        </c:ser>
        <c:ser>
          <c:idx val="7"/>
          <c:order val="6"/>
          <c:tx>
            <c:v>Business services</c:v>
          </c:tx>
          <c:spPr>
            <a:solidFill>
              <a:srgbClr val="99FF66"/>
            </a:solidFill>
            <a:ln w="25400">
              <a:noFill/>
            </a:ln>
          </c:spPr>
          <c:invertIfNegative val="0"/>
          <c:xVal>
            <c:numRef>
              <c:f>'Rel. prod. cf employment1'!$B$13</c:f>
              <c:numCache>
                <c:formatCode>0.0</c:formatCode>
                <c:ptCount val="1"/>
                <c:pt idx="0">
                  <c:v>0.66071159931360135</c:v>
                </c:pt>
              </c:numCache>
            </c:numRef>
          </c:xVal>
          <c:yVal>
            <c:numRef>
              <c:f>'Rel. prod. cf employment1'!$C$13</c:f>
              <c:numCache>
                <c:formatCode>0.0</c:formatCode>
                <c:ptCount val="1"/>
                <c:pt idx="0">
                  <c:v>1.1033871793875791</c:v>
                </c:pt>
              </c:numCache>
            </c:numRef>
          </c:yVal>
          <c:bubbleSize>
            <c:numRef>
              <c:f>'Rel. prod. cf employment1'!$E$13</c:f>
              <c:numCache>
                <c:formatCode>#,##0</c:formatCode>
                <c:ptCount val="1"/>
                <c:pt idx="0">
                  <c:v>439.13804332007874</c:v>
                </c:pt>
              </c:numCache>
            </c:numRef>
          </c:bubbleSize>
          <c:bubble3D val="1"/>
        </c:ser>
        <c:ser>
          <c:idx val="8"/>
          <c:order val="7"/>
          <c:tx>
            <c:v>Govt services</c:v>
          </c:tx>
          <c:spPr>
            <a:solidFill>
              <a:srgbClr val="984807"/>
            </a:solidFill>
            <a:ln w="25400">
              <a:noFill/>
            </a:ln>
          </c:spPr>
          <c:invertIfNegative val="0"/>
          <c:xVal>
            <c:numRef>
              <c:f>'Rel. prod. cf employment1'!$B$14</c:f>
              <c:numCache>
                <c:formatCode>0.0</c:formatCode>
                <c:ptCount val="1"/>
                <c:pt idx="0">
                  <c:v>0.51695420445995577</c:v>
                </c:pt>
              </c:numCache>
            </c:numRef>
          </c:xVal>
          <c:yVal>
            <c:numRef>
              <c:f>'Rel. prod. cf employment1'!$C$14</c:f>
              <c:numCache>
                <c:formatCode>0.0</c:formatCode>
                <c:ptCount val="1"/>
                <c:pt idx="0">
                  <c:v>0.33791983378730817</c:v>
                </c:pt>
              </c:numCache>
            </c:numRef>
          </c:yVal>
          <c:bubbleSize>
            <c:numRef>
              <c:f>'Rel. prod. cf employment1'!$E$14</c:f>
              <c:numCache>
                <c:formatCode>#,##0</c:formatCode>
                <c:ptCount val="1"/>
                <c:pt idx="0">
                  <c:v>1110.5951877757916</c:v>
                </c:pt>
              </c:numCache>
            </c:numRef>
          </c:bubbleSize>
          <c:bubble3D val="1"/>
        </c:ser>
        <c:ser>
          <c:idx val="9"/>
          <c:order val="8"/>
          <c:tx>
            <c:v>Personal services</c:v>
          </c:tx>
          <c:spPr>
            <a:solidFill>
              <a:srgbClr val="9999FF"/>
            </a:solidFill>
            <a:ln w="25400">
              <a:noFill/>
            </a:ln>
          </c:spPr>
          <c:invertIfNegative val="0"/>
          <c:xVal>
            <c:numRef>
              <c:f>'Rel. prod. cf employment1'!$B$15</c:f>
              <c:numCache>
                <c:formatCode>0.0</c:formatCode>
                <c:ptCount val="1"/>
                <c:pt idx="0">
                  <c:v>2.2924342454975735</c:v>
                </c:pt>
              </c:numCache>
            </c:numRef>
          </c:xVal>
          <c:yVal>
            <c:numRef>
              <c:f>'Rel. prod. cf employment1'!$C$15</c:f>
              <c:numCache>
                <c:formatCode>0.0</c:formatCode>
                <c:ptCount val="1"/>
                <c:pt idx="0">
                  <c:v>0.19926514536641229</c:v>
                </c:pt>
              </c:numCache>
            </c:numRef>
          </c:yVal>
          <c:bubbleSize>
            <c:numRef>
              <c:f>'Rel. prod. cf employment1'!$E$15</c:f>
              <c:numCache>
                <c:formatCode>#,##0</c:formatCode>
                <c:ptCount val="1"/>
                <c:pt idx="0">
                  <c:v>1422.4474354149838</c:v>
                </c:pt>
              </c:numCache>
            </c:numRef>
          </c:bubbleSize>
          <c:bubble3D val="1"/>
        </c:ser>
        <c:dLbls>
          <c:showLegendKey val="0"/>
          <c:showVal val="0"/>
          <c:showCatName val="0"/>
          <c:showSerName val="0"/>
          <c:showPercent val="0"/>
          <c:showBubbleSize val="0"/>
        </c:dLbls>
        <c:bubbleScale val="100"/>
        <c:showNegBubbles val="0"/>
        <c:axId val="339690624"/>
        <c:axId val="339835520"/>
      </c:bubbleChart>
      <c:valAx>
        <c:axId val="339690624"/>
        <c:scaling>
          <c:orientation val="minMax"/>
          <c:max val="4"/>
          <c:min val="-6"/>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339835520"/>
        <c:crosses val="autoZero"/>
        <c:crossBetween val="midCat"/>
        <c:majorUnit val="1"/>
      </c:valAx>
      <c:valAx>
        <c:axId val="339835520"/>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33969062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'Decomp.of prod change2'!$F$3</c:f>
              <c:strCache>
                <c:ptCount val="1"/>
                <c:pt idx="0">
                  <c:v>Within sector</c:v>
                </c:pt>
              </c:strCache>
            </c:strRef>
          </c:tx>
          <c:invertIfNegative val="0"/>
          <c:cat>
            <c:strRef>
              <c:f>'Decomp.of prod change2'!$E$4:$E$6</c:f>
              <c:strCache>
                <c:ptCount val="3"/>
                <c:pt idx="0">
                  <c:v>1990-2000</c:v>
                </c:pt>
                <c:pt idx="1">
                  <c:v>2000-05</c:v>
                </c:pt>
                <c:pt idx="2">
                  <c:v>2005-10</c:v>
                </c:pt>
              </c:strCache>
            </c:strRef>
          </c:cat>
          <c:val>
            <c:numRef>
              <c:f>'Decomp.of prod change2'!$F$4:$F$6</c:f>
              <c:numCache>
                <c:formatCode>0.00%</c:formatCode>
                <c:ptCount val="3"/>
                <c:pt idx="0">
                  <c:v>1.1586917405658967E-2</c:v>
                </c:pt>
                <c:pt idx="1">
                  <c:v>0.10577410366642054</c:v>
                </c:pt>
                <c:pt idx="2">
                  <c:v>5.5493071392539714E-2</c:v>
                </c:pt>
              </c:numCache>
            </c:numRef>
          </c:val>
        </c:ser>
        <c:ser>
          <c:idx val="1"/>
          <c:order val="1"/>
          <c:tx>
            <c:strRef>
              <c:f>'Decomp.of prod change2'!$G$3</c:f>
              <c:strCache>
                <c:ptCount val="1"/>
                <c:pt idx="0">
                  <c:v>Structural change</c:v>
                </c:pt>
              </c:strCache>
            </c:strRef>
          </c:tx>
          <c:spPr>
            <a:solidFill>
              <a:schemeClr val="accent6"/>
            </a:solidFill>
          </c:spPr>
          <c:invertIfNegative val="0"/>
          <c:cat>
            <c:strRef>
              <c:f>'Decomp.of prod change2'!$E$4:$E$6</c:f>
              <c:strCache>
                <c:ptCount val="3"/>
                <c:pt idx="0">
                  <c:v>1990-2000</c:v>
                </c:pt>
                <c:pt idx="1">
                  <c:v>2000-05</c:v>
                </c:pt>
                <c:pt idx="2">
                  <c:v>2005-10</c:v>
                </c:pt>
              </c:strCache>
            </c:strRef>
          </c:cat>
          <c:val>
            <c:numRef>
              <c:f>'Decomp.of prod change2'!$G$4:$G$6</c:f>
              <c:numCache>
                <c:formatCode>0.00%</c:formatCode>
                <c:ptCount val="3"/>
                <c:pt idx="0">
                  <c:v>-2.02275134385521E-2</c:v>
                </c:pt>
                <c:pt idx="1">
                  <c:v>-4.1282297458842432E-2</c:v>
                </c:pt>
                <c:pt idx="2">
                  <c:v>-3.4611013633256957E-2</c:v>
                </c:pt>
              </c:numCache>
            </c:numRef>
          </c:val>
        </c:ser>
        <c:dLbls>
          <c:showLegendKey val="0"/>
          <c:showVal val="0"/>
          <c:showCatName val="0"/>
          <c:showSerName val="0"/>
          <c:showPercent val="0"/>
          <c:showBubbleSize val="0"/>
        </c:dLbls>
        <c:gapWidth val="150"/>
        <c:overlap val="100"/>
        <c:axId val="525271808"/>
        <c:axId val="525349632"/>
      </c:barChart>
      <c:catAx>
        <c:axId val="525271808"/>
        <c:scaling>
          <c:orientation val="minMax"/>
        </c:scaling>
        <c:delete val="0"/>
        <c:axPos val="b"/>
        <c:majorTickMark val="out"/>
        <c:minorTickMark val="none"/>
        <c:tickLblPos val="low"/>
        <c:crossAx val="525349632"/>
        <c:crosses val="autoZero"/>
        <c:auto val="1"/>
        <c:lblAlgn val="ctr"/>
        <c:lblOffset val="100"/>
        <c:noMultiLvlLbl val="0"/>
      </c:catAx>
      <c:valAx>
        <c:axId val="525349632"/>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52527180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scatterChart>
        <c:scatterStyle val="lineMarker"/>
        <c:varyColors val="0"/>
        <c:ser>
          <c:idx val="0"/>
          <c:order val="0"/>
          <c:spPr>
            <a:ln w="66675">
              <a:noFill/>
            </a:ln>
          </c:spPr>
          <c:marker>
            <c:symbol val="circle"/>
            <c:size val="5"/>
          </c:marker>
          <c:dLbls>
            <c:dLbl>
              <c:idx val="0"/>
              <c:layout/>
              <c:tx>
                <c:rich>
                  <a:bodyPr/>
                  <a:lstStyle/>
                  <a:p>
                    <a:r>
                      <a:rPr lang="en-US" sz="700"/>
                      <a:t>Other non-</a:t>
                    </a:r>
                    <a:br>
                      <a:rPr lang="en-US" sz="700"/>
                    </a:br>
                    <a:r>
                      <a:rPr lang="en-US" sz="700"/>
                      <a:t>market services</a:t>
                    </a:r>
                    <a:endParaRPr lang="en-US"/>
                  </a:p>
                </c:rich>
              </c:tx>
              <c:dLblPos val="b"/>
              <c:showLegendKey val="0"/>
              <c:showVal val="1"/>
              <c:showCatName val="1"/>
              <c:showSerName val="0"/>
              <c:showPercent val="0"/>
              <c:showBubbleSize val="0"/>
            </c:dLbl>
            <c:dLbl>
              <c:idx val="1"/>
              <c:layout/>
              <c:tx>
                <c:rich>
                  <a:bodyPr/>
                  <a:lstStyle/>
                  <a:p>
                    <a:r>
                      <a:rPr lang="en-US" sz="700"/>
                      <a:t>Govt</a:t>
                    </a:r>
                    <a:r>
                      <a:rPr lang="en-US" sz="700" baseline="0"/>
                      <a:t> services</a:t>
                    </a:r>
                    <a:endParaRPr lang="en-US"/>
                  </a:p>
                </c:rich>
              </c:tx>
              <c:dLblPos val="r"/>
              <c:showLegendKey val="0"/>
              <c:showVal val="1"/>
              <c:showCatName val="1"/>
              <c:showSerName val="0"/>
              <c:showPercent val="0"/>
              <c:showBubbleSize val="0"/>
            </c:dLbl>
            <c:dLbl>
              <c:idx val="2"/>
              <c:layout/>
              <c:tx>
                <c:rich>
                  <a:bodyPr/>
                  <a:lstStyle/>
                  <a:p>
                    <a:r>
                      <a:rPr lang="en-US" sz="700"/>
                      <a:t>Agriculture</a:t>
                    </a:r>
                    <a:endParaRPr lang="en-US"/>
                  </a:p>
                </c:rich>
              </c:tx>
              <c:dLblPos val="b"/>
              <c:showLegendKey val="0"/>
              <c:showVal val="1"/>
              <c:showCatName val="1"/>
              <c:showSerName val="0"/>
              <c:showPercent val="0"/>
              <c:showBubbleSize val="0"/>
            </c:dLbl>
            <c:dLbl>
              <c:idx val="3"/>
              <c:layout/>
              <c:tx>
                <c:rich>
                  <a:bodyPr/>
                  <a:lstStyle/>
                  <a:p>
                    <a:r>
                      <a:rPr lang="en-US" sz="700"/>
                      <a:t>Finance &amp;</a:t>
                    </a:r>
                    <a:r>
                      <a:rPr lang="en-US" sz="700" baseline="0"/>
                      <a:t> </a:t>
                    </a:r>
                    <a:br>
                      <a:rPr lang="en-US" sz="700" baseline="0"/>
                    </a:br>
                    <a:r>
                      <a:rPr lang="en-US" sz="700" baseline="0"/>
                      <a:t>business</a:t>
                    </a:r>
                    <a:endParaRPr lang="en-US"/>
                  </a:p>
                </c:rich>
              </c:tx>
              <c:dLblPos val="l"/>
              <c:showLegendKey val="0"/>
              <c:showVal val="1"/>
              <c:showCatName val="1"/>
              <c:showSerName val="0"/>
              <c:showPercent val="0"/>
              <c:showBubbleSize val="0"/>
            </c:dLbl>
            <c:dLbl>
              <c:idx val="4"/>
              <c:layout/>
              <c:tx>
                <c:rich>
                  <a:bodyPr/>
                  <a:lstStyle/>
                  <a:p>
                    <a:r>
                      <a:rPr lang="en-US" sz="700"/>
                      <a:t>Manufacturing</a:t>
                    </a:r>
                    <a:endParaRPr lang="en-US"/>
                  </a:p>
                </c:rich>
              </c:tx>
              <c:dLblPos val="r"/>
              <c:showLegendKey val="0"/>
              <c:showVal val="1"/>
              <c:showCatName val="1"/>
              <c:showSerName val="0"/>
              <c:showPercent val="0"/>
              <c:showBubbleSize val="0"/>
            </c:dLbl>
            <c:dLbl>
              <c:idx val="5"/>
              <c:layout/>
              <c:tx>
                <c:rich>
                  <a:bodyPr/>
                  <a:lstStyle/>
                  <a:p>
                    <a:r>
                      <a:rPr lang="en-US" sz="700"/>
                      <a:t>Distribution</a:t>
                    </a:r>
                    <a:endParaRPr lang="en-US"/>
                  </a:p>
                </c:rich>
              </c:tx>
              <c:dLblPos val="l"/>
              <c:showLegendKey val="0"/>
              <c:showVal val="1"/>
              <c:showCatName val="1"/>
              <c:showSerName val="0"/>
              <c:showPercent val="0"/>
              <c:showBubbleSize val="0"/>
            </c:dLbl>
            <c:dLbl>
              <c:idx val="6"/>
              <c:layout/>
              <c:tx>
                <c:rich>
                  <a:bodyPr/>
                  <a:lstStyle/>
                  <a:p>
                    <a:r>
                      <a:rPr lang="en-US" sz="700"/>
                      <a:t>Other </a:t>
                    </a:r>
                    <a:br>
                      <a:rPr lang="en-US" sz="700"/>
                    </a:br>
                    <a:r>
                      <a:rPr lang="en-US" sz="700"/>
                      <a:t>industry</a:t>
                    </a:r>
                    <a:endParaRPr lang="en-US"/>
                  </a:p>
                </c:rich>
              </c:tx>
              <c:dLblPos val="l"/>
              <c:showLegendKey val="0"/>
              <c:showVal val="1"/>
              <c:showCatName val="1"/>
              <c:showSerName val="0"/>
              <c:showPercent val="0"/>
              <c:showBubbleSize val="0"/>
            </c:dLbl>
            <c:dLbl>
              <c:idx val="7"/>
              <c:tx>
                <c:rich>
                  <a:bodyPr/>
                  <a:lstStyle/>
                  <a:p>
                    <a:r>
                      <a:rPr lang="en-US" sz="700"/>
                      <a:t>Mining</a:t>
                    </a:r>
                    <a:endParaRPr lang="en-US"/>
                  </a:p>
                </c:rich>
              </c:tx>
              <c:dLblPos val="l"/>
              <c:showLegendKey val="0"/>
              <c:showVal val="1"/>
              <c:showCatName val="1"/>
              <c:showSerName val="0"/>
              <c:showPercent val="0"/>
              <c:showBubbleSize val="0"/>
            </c:dLbl>
            <c:txPr>
              <a:bodyPr/>
              <a:lstStyle/>
              <a:p>
                <a:pPr>
                  <a:defRPr sz="700"/>
                </a:pPr>
                <a:endParaRPr lang="en-US"/>
              </a:p>
            </c:txPr>
            <c:dLblPos val="t"/>
            <c:showLegendKey val="0"/>
            <c:showVal val="1"/>
            <c:showCatName val="1"/>
            <c:showSerName val="0"/>
            <c:showPercent val="0"/>
            <c:showBubbleSize val="0"/>
            <c:showLeaderLines val="0"/>
          </c:dLbls>
          <c:xVal>
            <c:numRef>
              <c:f>'Productivity gaps2'!$E$6:$E$12</c:f>
              <c:numCache>
                <c:formatCode>#,##0.000</c:formatCode>
                <c:ptCount val="7"/>
                <c:pt idx="0">
                  <c:v>6.0601996154235574E-2</c:v>
                </c:pt>
                <c:pt idx="1">
                  <c:v>0.10373938351414755</c:v>
                </c:pt>
                <c:pt idx="2">
                  <c:v>0.71033726191275548</c:v>
                </c:pt>
                <c:pt idx="3">
                  <c:v>0.7378791924351279</c:v>
                </c:pt>
                <c:pt idx="4">
                  <c:v>0.77968582639487716</c:v>
                </c:pt>
                <c:pt idx="5">
                  <c:v>0.97933541565900661</c:v>
                </c:pt>
                <c:pt idx="6">
                  <c:v>0.99768088771024599</c:v>
                </c:pt>
              </c:numCache>
            </c:numRef>
          </c:xVal>
          <c:yVal>
            <c:numRef>
              <c:f>'Productivity gaps2'!$F$6:$F$12</c:f>
              <c:numCache>
                <c:formatCode>#,##0.0</c:formatCode>
                <c:ptCount val="7"/>
                <c:pt idx="0">
                  <c:v>0.19629936082244806</c:v>
                </c:pt>
                <c:pt idx="1">
                  <c:v>0.26128147719636829</c:v>
                </c:pt>
                <c:pt idx="2">
                  <c:v>0.62105167328679434</c:v>
                </c:pt>
                <c:pt idx="3">
                  <c:v>0.81120734783262138</c:v>
                </c:pt>
                <c:pt idx="4">
                  <c:v>0.84789077525488654</c:v>
                </c:pt>
                <c:pt idx="5">
                  <c:v>1.1111117709268503</c:v>
                </c:pt>
                <c:pt idx="6">
                  <c:v>1.2572778336792896</c:v>
                </c:pt>
              </c:numCache>
            </c:numRef>
          </c:yVal>
          <c:smooth val="0"/>
        </c:ser>
        <c:dLbls>
          <c:showLegendKey val="0"/>
          <c:showVal val="1"/>
          <c:showCatName val="0"/>
          <c:showSerName val="0"/>
          <c:showPercent val="0"/>
          <c:showBubbleSize val="0"/>
        </c:dLbls>
        <c:axId val="525482624"/>
        <c:axId val="525615872"/>
      </c:scatterChart>
      <c:valAx>
        <c:axId val="525482624"/>
        <c:scaling>
          <c:orientation val="minMax"/>
          <c:max val="1"/>
        </c:scaling>
        <c:delete val="0"/>
        <c:axPos val="b"/>
        <c:title>
          <c:tx>
            <c:rich>
              <a:bodyPr/>
              <a:lstStyle/>
              <a:p>
                <a:pPr>
                  <a:defRPr b="0"/>
                </a:pPr>
                <a:r>
                  <a:rPr lang="en-US" b="0"/>
                  <a:t>Cumulative share of persons engaged</a:t>
                </a:r>
              </a:p>
            </c:rich>
          </c:tx>
          <c:layout/>
          <c:overlay val="0"/>
        </c:title>
        <c:numFmt formatCode="#,##0.00" sourceLinked="0"/>
        <c:majorTickMark val="out"/>
        <c:minorTickMark val="none"/>
        <c:tickLblPos val="nextTo"/>
        <c:crossAx val="525615872"/>
        <c:crosses val="autoZero"/>
        <c:crossBetween val="midCat"/>
      </c:valAx>
      <c:valAx>
        <c:axId val="525615872"/>
        <c:scaling>
          <c:orientation val="minMax"/>
        </c:scaling>
        <c:delete val="0"/>
        <c:axPos val="l"/>
        <c:majorGridlines/>
        <c:title>
          <c:tx>
            <c:rich>
              <a:bodyPr rot="-5400000" vert="horz"/>
              <a:lstStyle/>
              <a:p>
                <a:pPr>
                  <a:defRPr b="0"/>
                </a:pPr>
                <a:r>
                  <a:rPr lang="en-US" b="0"/>
                  <a:t>Relative productivity</a:t>
                </a:r>
              </a:p>
            </c:rich>
          </c:tx>
          <c:layout/>
          <c:overlay val="0"/>
        </c:title>
        <c:numFmt formatCode="#,##0.0" sourceLinked="0"/>
        <c:majorTickMark val="out"/>
        <c:minorTickMark val="none"/>
        <c:tickLblPos val="nextTo"/>
        <c:crossAx val="525482624"/>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gaps2'!$I$5</c:f>
              <c:strCache>
                <c:ptCount val="1"/>
                <c:pt idx="0">
                  <c:v>Other non market services</c:v>
                </c:pt>
              </c:strCache>
            </c:strRef>
          </c:tx>
          <c:spPr>
            <a:solidFill>
              <a:schemeClr val="accent1"/>
            </a:solidFill>
          </c:spPr>
          <c:cat>
            <c:numRef>
              <c:f>'Productivity gaps2'!$H$6:$H$31</c:f>
              <c:numCache>
                <c:formatCode>General</c:formatCode>
                <c:ptCount val="26"/>
                <c:pt idx="0">
                  <c:v>0</c:v>
                </c:pt>
                <c:pt idx="1">
                  <c:v>0</c:v>
                </c:pt>
                <c:pt idx="2">
                  <c:v>3.0300998077117787</c:v>
                </c:pt>
                <c:pt idx="3">
                  <c:v>6.0601996154235573</c:v>
                </c:pt>
                <c:pt idx="4">
                  <c:v>6.0601996154235573</c:v>
                </c:pt>
                <c:pt idx="5">
                  <c:v>8.2170689834191553</c:v>
                </c:pt>
                <c:pt idx="6">
                  <c:v>10.373938351414754</c:v>
                </c:pt>
                <c:pt idx="7">
                  <c:v>10.373938351414754</c:v>
                </c:pt>
                <c:pt idx="8">
                  <c:v>40.703832271345149</c:v>
                </c:pt>
                <c:pt idx="9">
                  <c:v>71.033726191275548</c:v>
                </c:pt>
                <c:pt idx="10">
                  <c:v>71.033726191275548</c:v>
                </c:pt>
                <c:pt idx="11">
                  <c:v>72.410822717394169</c:v>
                </c:pt>
                <c:pt idx="12">
                  <c:v>73.787919243512789</c:v>
                </c:pt>
                <c:pt idx="13">
                  <c:v>73.787919243512789</c:v>
                </c:pt>
                <c:pt idx="14">
                  <c:v>75.878250941500255</c:v>
                </c:pt>
                <c:pt idx="15">
                  <c:v>77.968582639487721</c:v>
                </c:pt>
                <c:pt idx="16">
                  <c:v>77.968582639487721</c:v>
                </c:pt>
                <c:pt idx="17">
                  <c:v>87.951062102694195</c:v>
                </c:pt>
                <c:pt idx="18">
                  <c:v>97.933541565900669</c:v>
                </c:pt>
                <c:pt idx="19">
                  <c:v>97.933541565900669</c:v>
                </c:pt>
                <c:pt idx="20">
                  <c:v>98.850815168462631</c:v>
                </c:pt>
                <c:pt idx="21">
                  <c:v>99.768088771024594</c:v>
                </c:pt>
                <c:pt idx="22">
                  <c:v>99.768088771024594</c:v>
                </c:pt>
                <c:pt idx="23">
                  <c:v>99.884044385512297</c:v>
                </c:pt>
                <c:pt idx="24">
                  <c:v>100</c:v>
                </c:pt>
                <c:pt idx="25">
                  <c:v>100</c:v>
                </c:pt>
              </c:numCache>
            </c:numRef>
          </c:cat>
          <c:val>
            <c:numRef>
              <c:f>'Productivity gaps2'!$I$6:$I$31</c:f>
              <c:numCache>
                <c:formatCode>General</c:formatCode>
                <c:ptCount val="26"/>
                <c:pt idx="0">
                  <c:v>0</c:v>
                </c:pt>
                <c:pt idx="1">
                  <c:v>0.19629936082244806</c:v>
                </c:pt>
                <c:pt idx="2">
                  <c:v>0.19629936082244806</c:v>
                </c:pt>
                <c:pt idx="3">
                  <c:v>0.19629936082244806</c:v>
                </c:pt>
                <c:pt idx="4">
                  <c:v>0</c:v>
                </c:pt>
              </c:numCache>
            </c:numRef>
          </c:val>
        </c:ser>
        <c:ser>
          <c:idx val="1"/>
          <c:order val="1"/>
          <c:tx>
            <c:strRef>
              <c:f>'Productivity gaps2'!$J$5</c:f>
              <c:strCache>
                <c:ptCount val="1"/>
                <c:pt idx="0">
                  <c:v>Government services</c:v>
                </c:pt>
              </c:strCache>
            </c:strRef>
          </c:tx>
          <c:spPr>
            <a:solidFill>
              <a:schemeClr val="accent6"/>
            </a:solidFill>
          </c:spPr>
          <c:cat>
            <c:numRef>
              <c:f>'Productivity gaps2'!$H$6:$H$31</c:f>
              <c:numCache>
                <c:formatCode>General</c:formatCode>
                <c:ptCount val="26"/>
                <c:pt idx="0">
                  <c:v>0</c:v>
                </c:pt>
                <c:pt idx="1">
                  <c:v>0</c:v>
                </c:pt>
                <c:pt idx="2">
                  <c:v>3.0300998077117787</c:v>
                </c:pt>
                <c:pt idx="3">
                  <c:v>6.0601996154235573</c:v>
                </c:pt>
                <c:pt idx="4">
                  <c:v>6.0601996154235573</c:v>
                </c:pt>
                <c:pt idx="5">
                  <c:v>8.2170689834191553</c:v>
                </c:pt>
                <c:pt idx="6">
                  <c:v>10.373938351414754</c:v>
                </c:pt>
                <c:pt idx="7">
                  <c:v>10.373938351414754</c:v>
                </c:pt>
                <c:pt idx="8">
                  <c:v>40.703832271345149</c:v>
                </c:pt>
                <c:pt idx="9">
                  <c:v>71.033726191275548</c:v>
                </c:pt>
                <c:pt idx="10">
                  <c:v>71.033726191275548</c:v>
                </c:pt>
                <c:pt idx="11">
                  <c:v>72.410822717394169</c:v>
                </c:pt>
                <c:pt idx="12">
                  <c:v>73.787919243512789</c:v>
                </c:pt>
                <c:pt idx="13">
                  <c:v>73.787919243512789</c:v>
                </c:pt>
                <c:pt idx="14">
                  <c:v>75.878250941500255</c:v>
                </c:pt>
                <c:pt idx="15">
                  <c:v>77.968582639487721</c:v>
                </c:pt>
                <c:pt idx="16">
                  <c:v>77.968582639487721</c:v>
                </c:pt>
                <c:pt idx="17">
                  <c:v>87.951062102694195</c:v>
                </c:pt>
                <c:pt idx="18">
                  <c:v>97.933541565900669</c:v>
                </c:pt>
                <c:pt idx="19">
                  <c:v>97.933541565900669</c:v>
                </c:pt>
                <c:pt idx="20">
                  <c:v>98.850815168462631</c:v>
                </c:pt>
                <c:pt idx="21">
                  <c:v>99.768088771024594</c:v>
                </c:pt>
                <c:pt idx="22">
                  <c:v>99.768088771024594</c:v>
                </c:pt>
                <c:pt idx="23">
                  <c:v>99.884044385512297</c:v>
                </c:pt>
                <c:pt idx="24">
                  <c:v>100</c:v>
                </c:pt>
                <c:pt idx="25">
                  <c:v>100</c:v>
                </c:pt>
              </c:numCache>
            </c:numRef>
          </c:cat>
          <c:val>
            <c:numRef>
              <c:f>'Productivity gaps2'!$J$6:$J$31</c:f>
              <c:numCache>
                <c:formatCode>General</c:formatCode>
                <c:ptCount val="26"/>
                <c:pt idx="3">
                  <c:v>0</c:v>
                </c:pt>
                <c:pt idx="4">
                  <c:v>0.26128147719636829</c:v>
                </c:pt>
                <c:pt idx="5">
                  <c:v>0.26128147719636829</c:v>
                </c:pt>
                <c:pt idx="6">
                  <c:v>0.26128147719636829</c:v>
                </c:pt>
                <c:pt idx="7">
                  <c:v>0</c:v>
                </c:pt>
              </c:numCache>
            </c:numRef>
          </c:val>
        </c:ser>
        <c:ser>
          <c:idx val="2"/>
          <c:order val="2"/>
          <c:tx>
            <c:strRef>
              <c:f>'Productivity gaps2'!$K$5</c:f>
              <c:strCache>
                <c:ptCount val="1"/>
                <c:pt idx="0">
                  <c:v>Agriculture</c:v>
                </c:pt>
              </c:strCache>
            </c:strRef>
          </c:tx>
          <c:spPr>
            <a:solidFill>
              <a:schemeClr val="accent3"/>
            </a:solidFill>
          </c:spPr>
          <c:cat>
            <c:numRef>
              <c:f>'Productivity gaps2'!$H$6:$H$31</c:f>
              <c:numCache>
                <c:formatCode>General</c:formatCode>
                <c:ptCount val="26"/>
                <c:pt idx="0">
                  <c:v>0</c:v>
                </c:pt>
                <c:pt idx="1">
                  <c:v>0</c:v>
                </c:pt>
                <c:pt idx="2">
                  <c:v>3.0300998077117787</c:v>
                </c:pt>
                <c:pt idx="3">
                  <c:v>6.0601996154235573</c:v>
                </c:pt>
                <c:pt idx="4">
                  <c:v>6.0601996154235573</c:v>
                </c:pt>
                <c:pt idx="5">
                  <c:v>8.2170689834191553</c:v>
                </c:pt>
                <c:pt idx="6">
                  <c:v>10.373938351414754</c:v>
                </c:pt>
                <c:pt idx="7">
                  <c:v>10.373938351414754</c:v>
                </c:pt>
                <c:pt idx="8">
                  <c:v>40.703832271345149</c:v>
                </c:pt>
                <c:pt idx="9">
                  <c:v>71.033726191275548</c:v>
                </c:pt>
                <c:pt idx="10">
                  <c:v>71.033726191275548</c:v>
                </c:pt>
                <c:pt idx="11">
                  <c:v>72.410822717394169</c:v>
                </c:pt>
                <c:pt idx="12">
                  <c:v>73.787919243512789</c:v>
                </c:pt>
                <c:pt idx="13">
                  <c:v>73.787919243512789</c:v>
                </c:pt>
                <c:pt idx="14">
                  <c:v>75.878250941500255</c:v>
                </c:pt>
                <c:pt idx="15">
                  <c:v>77.968582639487721</c:v>
                </c:pt>
                <c:pt idx="16">
                  <c:v>77.968582639487721</c:v>
                </c:pt>
                <c:pt idx="17">
                  <c:v>87.951062102694195</c:v>
                </c:pt>
                <c:pt idx="18">
                  <c:v>97.933541565900669</c:v>
                </c:pt>
                <c:pt idx="19">
                  <c:v>97.933541565900669</c:v>
                </c:pt>
                <c:pt idx="20">
                  <c:v>98.850815168462631</c:v>
                </c:pt>
                <c:pt idx="21">
                  <c:v>99.768088771024594</c:v>
                </c:pt>
                <c:pt idx="22">
                  <c:v>99.768088771024594</c:v>
                </c:pt>
                <c:pt idx="23">
                  <c:v>99.884044385512297</c:v>
                </c:pt>
                <c:pt idx="24">
                  <c:v>100</c:v>
                </c:pt>
                <c:pt idx="25">
                  <c:v>100</c:v>
                </c:pt>
              </c:numCache>
            </c:numRef>
          </c:cat>
          <c:val>
            <c:numRef>
              <c:f>'Productivity gaps2'!$K$6:$K$31</c:f>
              <c:numCache>
                <c:formatCode>General</c:formatCode>
                <c:ptCount val="26"/>
                <c:pt idx="6">
                  <c:v>0</c:v>
                </c:pt>
                <c:pt idx="7">
                  <c:v>0.62105167328679434</c:v>
                </c:pt>
                <c:pt idx="8">
                  <c:v>0.62105167328679434</c:v>
                </c:pt>
                <c:pt idx="9">
                  <c:v>0.62105167328679434</c:v>
                </c:pt>
                <c:pt idx="10">
                  <c:v>0</c:v>
                </c:pt>
              </c:numCache>
            </c:numRef>
          </c:val>
        </c:ser>
        <c:ser>
          <c:idx val="3"/>
          <c:order val="3"/>
          <c:tx>
            <c:strRef>
              <c:f>'Productivity gaps2'!$L$5</c:f>
              <c:strCache>
                <c:ptCount val="1"/>
                <c:pt idx="0">
                  <c:v>Finance and business services</c:v>
                </c:pt>
              </c:strCache>
            </c:strRef>
          </c:tx>
          <c:spPr>
            <a:solidFill>
              <a:schemeClr val="bg1">
                <a:lumMod val="65000"/>
              </a:schemeClr>
            </a:solidFill>
          </c:spPr>
          <c:cat>
            <c:numRef>
              <c:f>'Productivity gaps2'!$H$6:$H$31</c:f>
              <c:numCache>
                <c:formatCode>General</c:formatCode>
                <c:ptCount val="26"/>
                <c:pt idx="0">
                  <c:v>0</c:v>
                </c:pt>
                <c:pt idx="1">
                  <c:v>0</c:v>
                </c:pt>
                <c:pt idx="2">
                  <c:v>3.0300998077117787</c:v>
                </c:pt>
                <c:pt idx="3">
                  <c:v>6.0601996154235573</c:v>
                </c:pt>
                <c:pt idx="4">
                  <c:v>6.0601996154235573</c:v>
                </c:pt>
                <c:pt idx="5">
                  <c:v>8.2170689834191553</c:v>
                </c:pt>
                <c:pt idx="6">
                  <c:v>10.373938351414754</c:v>
                </c:pt>
                <c:pt idx="7">
                  <c:v>10.373938351414754</c:v>
                </c:pt>
                <c:pt idx="8">
                  <c:v>40.703832271345149</c:v>
                </c:pt>
                <c:pt idx="9">
                  <c:v>71.033726191275548</c:v>
                </c:pt>
                <c:pt idx="10">
                  <c:v>71.033726191275548</c:v>
                </c:pt>
                <c:pt idx="11">
                  <c:v>72.410822717394169</c:v>
                </c:pt>
                <c:pt idx="12">
                  <c:v>73.787919243512789</c:v>
                </c:pt>
                <c:pt idx="13">
                  <c:v>73.787919243512789</c:v>
                </c:pt>
                <c:pt idx="14">
                  <c:v>75.878250941500255</c:v>
                </c:pt>
                <c:pt idx="15">
                  <c:v>77.968582639487721</c:v>
                </c:pt>
                <c:pt idx="16">
                  <c:v>77.968582639487721</c:v>
                </c:pt>
                <c:pt idx="17">
                  <c:v>87.951062102694195</c:v>
                </c:pt>
                <c:pt idx="18">
                  <c:v>97.933541565900669</c:v>
                </c:pt>
                <c:pt idx="19">
                  <c:v>97.933541565900669</c:v>
                </c:pt>
                <c:pt idx="20">
                  <c:v>98.850815168462631</c:v>
                </c:pt>
                <c:pt idx="21">
                  <c:v>99.768088771024594</c:v>
                </c:pt>
                <c:pt idx="22">
                  <c:v>99.768088771024594</c:v>
                </c:pt>
                <c:pt idx="23">
                  <c:v>99.884044385512297</c:v>
                </c:pt>
                <c:pt idx="24">
                  <c:v>100</c:v>
                </c:pt>
                <c:pt idx="25">
                  <c:v>100</c:v>
                </c:pt>
              </c:numCache>
            </c:numRef>
          </c:cat>
          <c:val>
            <c:numRef>
              <c:f>'Productivity gaps2'!$L$6:$L$31</c:f>
              <c:numCache>
                <c:formatCode>General</c:formatCode>
                <c:ptCount val="26"/>
                <c:pt idx="9">
                  <c:v>0</c:v>
                </c:pt>
                <c:pt idx="10">
                  <c:v>0.81120734783262138</c:v>
                </c:pt>
                <c:pt idx="11">
                  <c:v>0.81120734783262138</c:v>
                </c:pt>
                <c:pt idx="12">
                  <c:v>0.81120734783262138</c:v>
                </c:pt>
                <c:pt idx="13">
                  <c:v>0</c:v>
                </c:pt>
              </c:numCache>
            </c:numRef>
          </c:val>
        </c:ser>
        <c:ser>
          <c:idx val="4"/>
          <c:order val="4"/>
          <c:tx>
            <c:strRef>
              <c:f>'Productivity gaps2'!$M$5</c:f>
              <c:strCache>
                <c:ptCount val="1"/>
                <c:pt idx="0">
                  <c:v>Manufacturing</c:v>
                </c:pt>
              </c:strCache>
            </c:strRef>
          </c:tx>
          <c:spPr>
            <a:solidFill>
              <a:schemeClr val="accent5"/>
            </a:solidFill>
          </c:spPr>
          <c:cat>
            <c:numRef>
              <c:f>'Productivity gaps2'!$H$6:$H$31</c:f>
              <c:numCache>
                <c:formatCode>General</c:formatCode>
                <c:ptCount val="26"/>
                <c:pt idx="0">
                  <c:v>0</c:v>
                </c:pt>
                <c:pt idx="1">
                  <c:v>0</c:v>
                </c:pt>
                <c:pt idx="2">
                  <c:v>3.0300998077117787</c:v>
                </c:pt>
                <c:pt idx="3">
                  <c:v>6.0601996154235573</c:v>
                </c:pt>
                <c:pt idx="4">
                  <c:v>6.0601996154235573</c:v>
                </c:pt>
                <c:pt idx="5">
                  <c:v>8.2170689834191553</c:v>
                </c:pt>
                <c:pt idx="6">
                  <c:v>10.373938351414754</c:v>
                </c:pt>
                <c:pt idx="7">
                  <c:v>10.373938351414754</c:v>
                </c:pt>
                <c:pt idx="8">
                  <c:v>40.703832271345149</c:v>
                </c:pt>
                <c:pt idx="9">
                  <c:v>71.033726191275548</c:v>
                </c:pt>
                <c:pt idx="10">
                  <c:v>71.033726191275548</c:v>
                </c:pt>
                <c:pt idx="11">
                  <c:v>72.410822717394169</c:v>
                </c:pt>
                <c:pt idx="12">
                  <c:v>73.787919243512789</c:v>
                </c:pt>
                <c:pt idx="13">
                  <c:v>73.787919243512789</c:v>
                </c:pt>
                <c:pt idx="14">
                  <c:v>75.878250941500255</c:v>
                </c:pt>
                <c:pt idx="15">
                  <c:v>77.968582639487721</c:v>
                </c:pt>
                <c:pt idx="16">
                  <c:v>77.968582639487721</c:v>
                </c:pt>
                <c:pt idx="17">
                  <c:v>87.951062102694195</c:v>
                </c:pt>
                <c:pt idx="18">
                  <c:v>97.933541565900669</c:v>
                </c:pt>
                <c:pt idx="19">
                  <c:v>97.933541565900669</c:v>
                </c:pt>
                <c:pt idx="20">
                  <c:v>98.850815168462631</c:v>
                </c:pt>
                <c:pt idx="21">
                  <c:v>99.768088771024594</c:v>
                </c:pt>
                <c:pt idx="22">
                  <c:v>99.768088771024594</c:v>
                </c:pt>
                <c:pt idx="23">
                  <c:v>99.884044385512297</c:v>
                </c:pt>
                <c:pt idx="24">
                  <c:v>100</c:v>
                </c:pt>
                <c:pt idx="25">
                  <c:v>100</c:v>
                </c:pt>
              </c:numCache>
            </c:numRef>
          </c:cat>
          <c:val>
            <c:numRef>
              <c:f>'Productivity gaps2'!$M$6:$M$31</c:f>
              <c:numCache>
                <c:formatCode>General</c:formatCode>
                <c:ptCount val="26"/>
                <c:pt idx="12">
                  <c:v>0</c:v>
                </c:pt>
                <c:pt idx="13">
                  <c:v>0.84789077525488654</c:v>
                </c:pt>
                <c:pt idx="14">
                  <c:v>0.84789077525488654</c:v>
                </c:pt>
                <c:pt idx="15">
                  <c:v>0.84789077525488654</c:v>
                </c:pt>
                <c:pt idx="16">
                  <c:v>0</c:v>
                </c:pt>
              </c:numCache>
            </c:numRef>
          </c:val>
        </c:ser>
        <c:ser>
          <c:idx val="5"/>
          <c:order val="5"/>
          <c:tx>
            <c:strRef>
              <c:f>'Productivity gaps2'!$N$5</c:f>
              <c:strCache>
                <c:ptCount val="1"/>
                <c:pt idx="0">
                  <c:v>Distribution services</c:v>
                </c:pt>
              </c:strCache>
            </c:strRef>
          </c:tx>
          <c:spPr>
            <a:solidFill>
              <a:schemeClr val="accent2"/>
            </a:solidFill>
          </c:spPr>
          <c:cat>
            <c:numRef>
              <c:f>'Productivity gaps2'!$H$6:$H$31</c:f>
              <c:numCache>
                <c:formatCode>General</c:formatCode>
                <c:ptCount val="26"/>
                <c:pt idx="0">
                  <c:v>0</c:v>
                </c:pt>
                <c:pt idx="1">
                  <c:v>0</c:v>
                </c:pt>
                <c:pt idx="2">
                  <c:v>3.0300998077117787</c:v>
                </c:pt>
                <c:pt idx="3">
                  <c:v>6.0601996154235573</c:v>
                </c:pt>
                <c:pt idx="4">
                  <c:v>6.0601996154235573</c:v>
                </c:pt>
                <c:pt idx="5">
                  <c:v>8.2170689834191553</c:v>
                </c:pt>
                <c:pt idx="6">
                  <c:v>10.373938351414754</c:v>
                </c:pt>
                <c:pt idx="7">
                  <c:v>10.373938351414754</c:v>
                </c:pt>
                <c:pt idx="8">
                  <c:v>40.703832271345149</c:v>
                </c:pt>
                <c:pt idx="9">
                  <c:v>71.033726191275548</c:v>
                </c:pt>
                <c:pt idx="10">
                  <c:v>71.033726191275548</c:v>
                </c:pt>
                <c:pt idx="11">
                  <c:v>72.410822717394169</c:v>
                </c:pt>
                <c:pt idx="12">
                  <c:v>73.787919243512789</c:v>
                </c:pt>
                <c:pt idx="13">
                  <c:v>73.787919243512789</c:v>
                </c:pt>
                <c:pt idx="14">
                  <c:v>75.878250941500255</c:v>
                </c:pt>
                <c:pt idx="15">
                  <c:v>77.968582639487721</c:v>
                </c:pt>
                <c:pt idx="16">
                  <c:v>77.968582639487721</c:v>
                </c:pt>
                <c:pt idx="17">
                  <c:v>87.951062102694195</c:v>
                </c:pt>
                <c:pt idx="18">
                  <c:v>97.933541565900669</c:v>
                </c:pt>
                <c:pt idx="19">
                  <c:v>97.933541565900669</c:v>
                </c:pt>
                <c:pt idx="20">
                  <c:v>98.850815168462631</c:v>
                </c:pt>
                <c:pt idx="21">
                  <c:v>99.768088771024594</c:v>
                </c:pt>
                <c:pt idx="22">
                  <c:v>99.768088771024594</c:v>
                </c:pt>
                <c:pt idx="23">
                  <c:v>99.884044385512297</c:v>
                </c:pt>
                <c:pt idx="24">
                  <c:v>100</c:v>
                </c:pt>
                <c:pt idx="25">
                  <c:v>100</c:v>
                </c:pt>
              </c:numCache>
            </c:numRef>
          </c:cat>
          <c:val>
            <c:numRef>
              <c:f>'Productivity gaps2'!$N$6:$N$31</c:f>
              <c:numCache>
                <c:formatCode>General</c:formatCode>
                <c:ptCount val="26"/>
                <c:pt idx="15">
                  <c:v>0</c:v>
                </c:pt>
                <c:pt idx="16">
                  <c:v>1.1111117709268503</c:v>
                </c:pt>
                <c:pt idx="17">
                  <c:v>1.1111117709268503</c:v>
                </c:pt>
                <c:pt idx="18">
                  <c:v>1.1111117709268503</c:v>
                </c:pt>
                <c:pt idx="19">
                  <c:v>0</c:v>
                </c:pt>
              </c:numCache>
            </c:numRef>
          </c:val>
        </c:ser>
        <c:ser>
          <c:idx val="6"/>
          <c:order val="6"/>
          <c:tx>
            <c:strRef>
              <c:f>'Productivity gaps2'!$O$5</c:f>
              <c:strCache>
                <c:ptCount val="1"/>
                <c:pt idx="0">
                  <c:v>Other industry</c:v>
                </c:pt>
              </c:strCache>
            </c:strRef>
          </c:tx>
          <c:spPr>
            <a:solidFill>
              <a:schemeClr val="accent6">
                <a:lumMod val="50000"/>
              </a:schemeClr>
            </a:solidFill>
          </c:spPr>
          <c:cat>
            <c:numRef>
              <c:f>'Productivity gaps2'!$H$6:$H$31</c:f>
              <c:numCache>
                <c:formatCode>General</c:formatCode>
                <c:ptCount val="26"/>
                <c:pt idx="0">
                  <c:v>0</c:v>
                </c:pt>
                <c:pt idx="1">
                  <c:v>0</c:v>
                </c:pt>
                <c:pt idx="2">
                  <c:v>3.0300998077117787</c:v>
                </c:pt>
                <c:pt idx="3">
                  <c:v>6.0601996154235573</c:v>
                </c:pt>
                <c:pt idx="4">
                  <c:v>6.0601996154235573</c:v>
                </c:pt>
                <c:pt idx="5">
                  <c:v>8.2170689834191553</c:v>
                </c:pt>
                <c:pt idx="6">
                  <c:v>10.373938351414754</c:v>
                </c:pt>
                <c:pt idx="7">
                  <c:v>10.373938351414754</c:v>
                </c:pt>
                <c:pt idx="8">
                  <c:v>40.703832271345149</c:v>
                </c:pt>
                <c:pt idx="9">
                  <c:v>71.033726191275548</c:v>
                </c:pt>
                <c:pt idx="10">
                  <c:v>71.033726191275548</c:v>
                </c:pt>
                <c:pt idx="11">
                  <c:v>72.410822717394169</c:v>
                </c:pt>
                <c:pt idx="12">
                  <c:v>73.787919243512789</c:v>
                </c:pt>
                <c:pt idx="13">
                  <c:v>73.787919243512789</c:v>
                </c:pt>
                <c:pt idx="14">
                  <c:v>75.878250941500255</c:v>
                </c:pt>
                <c:pt idx="15">
                  <c:v>77.968582639487721</c:v>
                </c:pt>
                <c:pt idx="16">
                  <c:v>77.968582639487721</c:v>
                </c:pt>
                <c:pt idx="17">
                  <c:v>87.951062102694195</c:v>
                </c:pt>
                <c:pt idx="18">
                  <c:v>97.933541565900669</c:v>
                </c:pt>
                <c:pt idx="19">
                  <c:v>97.933541565900669</c:v>
                </c:pt>
                <c:pt idx="20">
                  <c:v>98.850815168462631</c:v>
                </c:pt>
                <c:pt idx="21">
                  <c:v>99.768088771024594</c:v>
                </c:pt>
                <c:pt idx="22">
                  <c:v>99.768088771024594</c:v>
                </c:pt>
                <c:pt idx="23">
                  <c:v>99.884044385512297</c:v>
                </c:pt>
                <c:pt idx="24">
                  <c:v>100</c:v>
                </c:pt>
                <c:pt idx="25">
                  <c:v>100</c:v>
                </c:pt>
              </c:numCache>
            </c:numRef>
          </c:cat>
          <c:val>
            <c:numRef>
              <c:f>'Productivity gaps2'!$O$6:$O$31</c:f>
              <c:numCache>
                <c:formatCode>General</c:formatCode>
                <c:ptCount val="26"/>
                <c:pt idx="18">
                  <c:v>0</c:v>
                </c:pt>
                <c:pt idx="19">
                  <c:v>1.2572778336792896</c:v>
                </c:pt>
                <c:pt idx="20">
                  <c:v>1.2572778336792896</c:v>
                </c:pt>
                <c:pt idx="21">
                  <c:v>1.2572778336792896</c:v>
                </c:pt>
                <c:pt idx="22">
                  <c:v>0</c:v>
                </c:pt>
              </c:numCache>
            </c:numRef>
          </c:val>
        </c:ser>
        <c:dLbls>
          <c:showLegendKey val="0"/>
          <c:showVal val="0"/>
          <c:showCatName val="0"/>
          <c:showSerName val="0"/>
          <c:showPercent val="0"/>
          <c:showBubbleSize val="0"/>
        </c:dLbls>
        <c:axId val="528308864"/>
        <c:axId val="528321152"/>
      </c:areaChart>
      <c:dateAx>
        <c:axId val="528308864"/>
        <c:scaling>
          <c:orientation val="minMax"/>
          <c:max val="100"/>
        </c:scaling>
        <c:delete val="0"/>
        <c:axPos val="b"/>
        <c:title>
          <c:tx>
            <c:rich>
              <a:bodyPr/>
              <a:lstStyle/>
              <a:p>
                <a:pPr>
                  <a:defRPr b="0"/>
                </a:pPr>
                <a:r>
                  <a:rPr lang="en-GB" b="0"/>
                  <a:t>Cumulative share of persons engaged (%)</a:t>
                </a:r>
              </a:p>
            </c:rich>
          </c:tx>
          <c:layout/>
          <c:overlay val="0"/>
        </c:title>
        <c:numFmt formatCode="0" sourceLinked="0"/>
        <c:majorTickMark val="out"/>
        <c:minorTickMark val="none"/>
        <c:tickLblPos val="nextTo"/>
        <c:crossAx val="528321152"/>
        <c:crosses val="autoZero"/>
        <c:auto val="0"/>
        <c:lblOffset val="100"/>
        <c:baseTimeUnit val="days"/>
        <c:majorUnit val="25"/>
        <c:majorTimeUnit val="days"/>
      </c:dateAx>
      <c:valAx>
        <c:axId val="528321152"/>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528308864"/>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2010-11</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employ3'!$C$6</c:f>
              <c:numCache>
                <c:formatCode>0.0</c:formatCode>
                <c:ptCount val="1"/>
                <c:pt idx="0">
                  <c:v>1.1186434261780818</c:v>
                </c:pt>
              </c:numCache>
            </c:numRef>
          </c:xVal>
          <c:yVal>
            <c:numRef>
              <c:f>'Rel. prod. cf employ3'!$D$6</c:f>
              <c:numCache>
                <c:formatCode>0.0</c:formatCode>
                <c:ptCount val="1"/>
                <c:pt idx="0">
                  <c:v>0.38183551092318491</c:v>
                </c:pt>
              </c:numCache>
            </c:numRef>
          </c:yVal>
          <c:bubbleSize>
            <c:numRef>
              <c:f>'Rel. prod. cf employ3'!$F$6</c:f>
              <c:numCache>
                <c:formatCode>#,##0</c:formatCode>
                <c:ptCount val="1"/>
                <c:pt idx="0">
                  <c:v>32374.589461203472</c:v>
                </c:pt>
              </c:numCache>
            </c:numRef>
          </c:bubbleSize>
          <c:bubble3D val="1"/>
        </c:ser>
        <c:ser>
          <c:idx val="2"/>
          <c:order val="1"/>
          <c:tx>
            <c:v>Manufacturing</c:v>
          </c:tx>
          <c:spPr>
            <a:solidFill>
              <a:srgbClr val="00B050"/>
            </a:solidFill>
            <a:ln w="25400">
              <a:noFill/>
            </a:ln>
          </c:spPr>
          <c:invertIfNegative val="0"/>
          <c:xVal>
            <c:numRef>
              <c:f>'Rel. prod. cf employ3'!$C$8</c:f>
              <c:numCache>
                <c:formatCode>0.0</c:formatCode>
                <c:ptCount val="1"/>
                <c:pt idx="0">
                  <c:v>0.29352776689525939</c:v>
                </c:pt>
              </c:numCache>
            </c:numRef>
          </c:xVal>
          <c:yVal>
            <c:numRef>
              <c:f>'Rel. prod. cf employ3'!$D$8</c:f>
              <c:numCache>
                <c:formatCode>0.0</c:formatCode>
                <c:ptCount val="1"/>
                <c:pt idx="0">
                  <c:v>1.5532566535751766</c:v>
                </c:pt>
              </c:numCache>
            </c:numRef>
          </c:yVal>
          <c:bubbleSize>
            <c:numRef>
              <c:f>'Rel. prod. cf employ3'!$F$8</c:f>
              <c:numCache>
                <c:formatCode>#,##0</c:formatCode>
                <c:ptCount val="1"/>
                <c:pt idx="0">
                  <c:v>2344.6710947562474</c:v>
                </c:pt>
              </c:numCache>
            </c:numRef>
          </c:bubbleSize>
          <c:bubble3D val="1"/>
        </c:ser>
        <c:ser>
          <c:idx val="3"/>
          <c:order val="2"/>
          <c:tx>
            <c:v>Utilities</c:v>
          </c:tx>
          <c:spPr>
            <a:solidFill>
              <a:srgbClr val="FF0000"/>
            </a:solidFill>
            <a:ln w="25400">
              <a:noFill/>
            </a:ln>
          </c:spPr>
          <c:invertIfNegative val="0"/>
          <c:xVal>
            <c:numRef>
              <c:f>'Rel. prod. cf employ3'!$C$9</c:f>
              <c:numCache>
                <c:formatCode>0.0</c:formatCode>
                <c:ptCount val="1"/>
                <c:pt idx="0">
                  <c:v>5.429967927197929E-2</c:v>
                </c:pt>
              </c:numCache>
            </c:numRef>
          </c:xVal>
          <c:yVal>
            <c:numRef>
              <c:f>'Rel. prod. cf employ3'!$D$9</c:f>
              <c:numCache>
                <c:formatCode>0.0</c:formatCode>
                <c:ptCount val="1"/>
                <c:pt idx="0">
                  <c:v>3.2910520478124594</c:v>
                </c:pt>
              </c:numCache>
            </c:numRef>
          </c:yVal>
          <c:bubbleSize>
            <c:numRef>
              <c:f>'Rel. prod. cf employ3'!$F$9</c:f>
              <c:numCache>
                <c:formatCode>#,##0</c:formatCode>
                <c:ptCount val="1"/>
                <c:pt idx="0">
                  <c:v>146.19760867399418</c:v>
                </c:pt>
              </c:numCache>
            </c:numRef>
          </c:bubbleSize>
          <c:bubble3D val="1"/>
        </c:ser>
        <c:ser>
          <c:idx val="4"/>
          <c:order val="3"/>
          <c:tx>
            <c:v>Construction</c:v>
          </c:tx>
          <c:spPr>
            <a:solidFill>
              <a:srgbClr val="6600FF"/>
            </a:solidFill>
            <a:ln w="25400">
              <a:noFill/>
            </a:ln>
          </c:spPr>
          <c:invertIfNegative val="0"/>
          <c:xVal>
            <c:numRef>
              <c:f>'Rel. prod. cf employ3'!$C$10</c:f>
              <c:numCache>
                <c:formatCode>0.0</c:formatCode>
                <c:ptCount val="1"/>
                <c:pt idx="0">
                  <c:v>0.23336522120234005</c:v>
                </c:pt>
              </c:numCache>
            </c:numRef>
          </c:xVal>
          <c:yVal>
            <c:numRef>
              <c:f>'Rel. prod. cf employ3'!$D$10</c:f>
              <c:numCache>
                <c:formatCode>0.0</c:formatCode>
                <c:ptCount val="1"/>
                <c:pt idx="0">
                  <c:v>1.6854246354411122</c:v>
                </c:pt>
              </c:numCache>
            </c:numRef>
          </c:yVal>
          <c:bubbleSize>
            <c:numRef>
              <c:f>'Rel. prod. cf employ3'!$F$10</c:f>
              <c:numCache>
                <c:formatCode>#,##0</c:formatCode>
                <c:ptCount val="1"/>
                <c:pt idx="0">
                  <c:v>965.93399228022088</c:v>
                </c:pt>
              </c:numCache>
            </c:numRef>
          </c:bubbleSize>
          <c:bubble3D val="1"/>
        </c:ser>
        <c:ser>
          <c:idx val="5"/>
          <c:order val="4"/>
          <c:tx>
            <c:v>Trade services</c:v>
          </c:tx>
          <c:spPr>
            <a:solidFill>
              <a:srgbClr val="66FFFF"/>
            </a:solidFill>
            <a:ln w="25400">
              <a:noFill/>
            </a:ln>
          </c:spPr>
          <c:invertIfNegative val="0"/>
          <c:xVal>
            <c:numRef>
              <c:f>'Rel. prod. cf employ3'!$C$11</c:f>
              <c:numCache>
                <c:formatCode>0.0</c:formatCode>
                <c:ptCount val="1"/>
                <c:pt idx="0">
                  <c:v>-2.0714725782861496</c:v>
                </c:pt>
              </c:numCache>
            </c:numRef>
          </c:xVal>
          <c:yVal>
            <c:numRef>
              <c:f>'Rel. prod. cf employ3'!$D$11</c:f>
              <c:numCache>
                <c:formatCode>0.0</c:formatCode>
                <c:ptCount val="1"/>
                <c:pt idx="0">
                  <c:v>1.0630192267694205</c:v>
                </c:pt>
              </c:numCache>
            </c:numRef>
          </c:yVal>
          <c:bubbleSize>
            <c:numRef>
              <c:f>'Rel. prod. cf employ3'!$F$11</c:f>
              <c:numCache>
                <c:formatCode>#,##0</c:formatCode>
                <c:ptCount val="1"/>
                <c:pt idx="0">
                  <c:v>7780.6645079219716</c:v>
                </c:pt>
              </c:numCache>
            </c:numRef>
          </c:bubbleSize>
          <c:bubble3D val="1"/>
        </c:ser>
        <c:ser>
          <c:idx val="6"/>
          <c:order val="5"/>
          <c:tx>
            <c:v>Transport services</c:v>
          </c:tx>
          <c:spPr>
            <a:solidFill>
              <a:srgbClr val="FF00FF"/>
            </a:solidFill>
            <a:ln w="25400">
              <a:noFill/>
            </a:ln>
          </c:spPr>
          <c:invertIfNegative val="0"/>
          <c:xVal>
            <c:numRef>
              <c:f>'Rel. prod. cf employ3'!$C$12</c:f>
              <c:numCache>
                <c:formatCode>0.0</c:formatCode>
                <c:ptCount val="1"/>
                <c:pt idx="0">
                  <c:v>-0.16724551474010285</c:v>
                </c:pt>
              </c:numCache>
            </c:numRef>
          </c:xVal>
          <c:yVal>
            <c:numRef>
              <c:f>'Rel. prod. cf employ3'!$D$12</c:f>
              <c:numCache>
                <c:formatCode>0.0</c:formatCode>
                <c:ptCount val="1"/>
                <c:pt idx="0">
                  <c:v>4.4063020053111508</c:v>
                </c:pt>
              </c:numCache>
            </c:numRef>
          </c:yVal>
          <c:bubbleSize>
            <c:numRef>
              <c:f>'Rel. prod. cf employ3'!$F$12</c:f>
              <c:numCache>
                <c:formatCode>#,##0</c:formatCode>
                <c:ptCount val="1"/>
                <c:pt idx="0">
                  <c:v>1508.6579612743492</c:v>
                </c:pt>
              </c:numCache>
            </c:numRef>
          </c:bubbleSize>
          <c:bubble3D val="1"/>
        </c:ser>
        <c:ser>
          <c:idx val="7"/>
          <c:order val="6"/>
          <c:tx>
            <c:v>Business services</c:v>
          </c:tx>
          <c:spPr>
            <a:solidFill>
              <a:srgbClr val="99FF66"/>
            </a:solidFill>
            <a:ln w="25400">
              <a:noFill/>
            </a:ln>
          </c:spPr>
          <c:invertIfNegative val="0"/>
          <c:xVal>
            <c:numRef>
              <c:f>'Rel. prod. cf employ3'!$C$13</c:f>
              <c:numCache>
                <c:formatCode>0.0</c:formatCode>
                <c:ptCount val="1"/>
                <c:pt idx="0">
                  <c:v>0.55608925354706118</c:v>
                </c:pt>
              </c:numCache>
            </c:numRef>
          </c:xVal>
          <c:yVal>
            <c:numRef>
              <c:f>'Rel. prod. cf employ3'!$D$13</c:f>
              <c:numCache>
                <c:formatCode>0.0</c:formatCode>
                <c:ptCount val="1"/>
                <c:pt idx="0">
                  <c:v>4.0522161126292779</c:v>
                </c:pt>
              </c:numCache>
            </c:numRef>
          </c:yVal>
          <c:bubbleSize>
            <c:numRef>
              <c:f>'Rel. prod. cf employ3'!$F$13</c:f>
              <c:numCache>
                <c:formatCode>#,##0</c:formatCode>
                <c:ptCount val="1"/>
                <c:pt idx="0">
                  <c:v>1734.732146061571</c:v>
                </c:pt>
              </c:numCache>
            </c:numRef>
          </c:bubbleSize>
          <c:bubble3D val="1"/>
        </c:ser>
        <c:ser>
          <c:idx val="8"/>
          <c:order val="7"/>
          <c:tx>
            <c:v>Govt services</c:v>
          </c:tx>
          <c:spPr>
            <a:solidFill>
              <a:srgbClr val="984807"/>
            </a:solidFill>
            <a:ln w="25400">
              <a:noFill/>
            </a:ln>
          </c:spPr>
          <c:invertIfNegative val="0"/>
          <c:xVal>
            <c:numRef>
              <c:f>'Rel. prod. cf employ3'!$C$14</c:f>
              <c:numCache>
                <c:formatCode>0.0</c:formatCode>
                <c:ptCount val="1"/>
                <c:pt idx="0">
                  <c:v>0.17612269707920714</c:v>
                </c:pt>
              </c:numCache>
            </c:numRef>
          </c:xVal>
          <c:yVal>
            <c:numRef>
              <c:f>'Rel. prod. cf employ3'!$D$14</c:f>
              <c:numCache>
                <c:formatCode>0.0</c:formatCode>
                <c:ptCount val="1"/>
                <c:pt idx="0">
                  <c:v>1.4358751961511171</c:v>
                </c:pt>
              </c:numCache>
            </c:numRef>
          </c:yVal>
          <c:bubbleSize>
            <c:numRef>
              <c:f>'Rel. prod. cf employ3'!$F$14</c:f>
              <c:numCache>
                <c:formatCode>#,##0</c:formatCode>
                <c:ptCount val="1"/>
                <c:pt idx="0">
                  <c:v>2352.8829990419586</c:v>
                </c:pt>
              </c:numCache>
            </c:numRef>
          </c:bubbleSize>
          <c:bubble3D val="1"/>
        </c:ser>
        <c:ser>
          <c:idx val="9"/>
          <c:order val="8"/>
          <c:tx>
            <c:v>Personal services</c:v>
          </c:tx>
          <c:spPr>
            <a:solidFill>
              <a:srgbClr val="9999FF"/>
            </a:solidFill>
            <a:ln w="25400">
              <a:noFill/>
            </a:ln>
          </c:spPr>
          <c:invertIfNegative val="0"/>
          <c:xVal>
            <c:numRef>
              <c:f>'Rel. prod. cf employ3'!$C$15</c:f>
              <c:numCache>
                <c:formatCode>0.0</c:formatCode>
                <c:ptCount val="1"/>
                <c:pt idx="0">
                  <c:v>-0.23299454245449347</c:v>
                </c:pt>
              </c:numCache>
            </c:numRef>
          </c:xVal>
          <c:yVal>
            <c:numRef>
              <c:f>'Rel. prod. cf employ3'!$D$15</c:f>
              <c:numCache>
                <c:formatCode>0.0</c:formatCode>
                <c:ptCount val="1"/>
                <c:pt idx="0">
                  <c:v>0.29940866048501491</c:v>
                </c:pt>
              </c:numCache>
            </c:numRef>
          </c:yVal>
          <c:bubbleSize>
            <c:numRef>
              <c:f>'Rel. prod. cf employ3'!$F$15</c:f>
              <c:numCache>
                <c:formatCode>#,##0</c:formatCode>
                <c:ptCount val="1"/>
                <c:pt idx="0">
                  <c:v>3053.709329898817</c:v>
                </c:pt>
              </c:numCache>
            </c:numRef>
          </c:bubbleSize>
          <c:bubble3D val="1"/>
        </c:ser>
        <c:dLbls>
          <c:showLegendKey val="0"/>
          <c:showVal val="0"/>
          <c:showCatName val="0"/>
          <c:showSerName val="0"/>
          <c:showPercent val="0"/>
          <c:showBubbleSize val="0"/>
        </c:dLbls>
        <c:bubbleScale val="100"/>
        <c:showNegBubbles val="0"/>
        <c:axId val="532293504"/>
        <c:axId val="532444672"/>
      </c:bubbleChart>
      <c:valAx>
        <c:axId val="532293504"/>
        <c:scaling>
          <c:orientation val="minMax"/>
          <c:min val="-3"/>
        </c:scaling>
        <c:delete val="0"/>
        <c:axPos val="b"/>
        <c:title>
          <c:tx>
            <c:rich>
              <a:bodyPr/>
              <a:lstStyle/>
              <a:p>
                <a:pPr>
                  <a:defRPr sz="800" b="0"/>
                </a:pPr>
                <a:r>
                  <a:rPr lang="en-US" sz="800" b="0"/>
                  <a:t>Percentage point change in share of persons engaged, 2010-11</a:t>
                </a:r>
              </a:p>
            </c:rich>
          </c:tx>
          <c:layout/>
          <c:overlay val="0"/>
        </c:title>
        <c:numFmt formatCode="0" sourceLinked="0"/>
        <c:majorTickMark val="out"/>
        <c:minorTickMark val="none"/>
        <c:tickLblPos val="low"/>
        <c:crossAx val="532444672"/>
        <c:crosses val="autoZero"/>
        <c:crossBetween val="midCat"/>
        <c:majorUnit val="1"/>
      </c:valAx>
      <c:valAx>
        <c:axId val="532444672"/>
        <c:scaling>
          <c:orientation val="minMax"/>
          <c:min val="0"/>
        </c:scaling>
        <c:delete val="0"/>
        <c:axPos val="l"/>
        <c:majorGridlines/>
        <c:title>
          <c:tx>
            <c:rich>
              <a:bodyPr rot="-5400000" vert="horz"/>
              <a:lstStyle/>
              <a:p>
                <a:pPr>
                  <a:defRPr sz="800" b="0"/>
                </a:pPr>
                <a:r>
                  <a:rPr lang="en-US" sz="800" b="0"/>
                  <a:t>Relative productivity level, 2011</a:t>
                </a:r>
              </a:p>
            </c:rich>
          </c:tx>
          <c:layout/>
          <c:overlay val="0"/>
        </c:title>
        <c:numFmt formatCode="0.0" sourceLinked="0"/>
        <c:majorTickMark val="out"/>
        <c:minorTickMark val="none"/>
        <c:tickLblPos val="low"/>
        <c:crossAx val="53229350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 of prod change3'!$G$3</c:f>
              <c:strCache>
                <c:ptCount val="1"/>
                <c:pt idx="0">
                  <c:v>Within sector</c:v>
                </c:pt>
              </c:strCache>
            </c:strRef>
          </c:tx>
          <c:invertIfNegative val="0"/>
          <c:cat>
            <c:strRef>
              <c:f>'Decomp of prod change3'!$F$4</c:f>
              <c:strCache>
                <c:ptCount val="1"/>
                <c:pt idx="0">
                  <c:v>2010-11</c:v>
                </c:pt>
              </c:strCache>
            </c:strRef>
          </c:cat>
          <c:val>
            <c:numRef>
              <c:f>'Decomp of prod change3'!$G$4</c:f>
              <c:numCache>
                <c:formatCode>0.00%</c:formatCode>
                <c:ptCount val="1"/>
                <c:pt idx="0">
                  <c:v>1.0874303919365386E-2</c:v>
                </c:pt>
              </c:numCache>
            </c:numRef>
          </c:val>
        </c:ser>
        <c:ser>
          <c:idx val="1"/>
          <c:order val="1"/>
          <c:tx>
            <c:strRef>
              <c:f>'Decomp of prod change3'!$H$3</c:f>
              <c:strCache>
                <c:ptCount val="1"/>
                <c:pt idx="0">
                  <c:v>Structural change</c:v>
                </c:pt>
              </c:strCache>
            </c:strRef>
          </c:tx>
          <c:spPr>
            <a:solidFill>
              <a:schemeClr val="accent6"/>
            </a:solidFill>
          </c:spPr>
          <c:invertIfNegative val="0"/>
          <c:cat>
            <c:strRef>
              <c:f>'Decomp of prod change3'!$F$4</c:f>
              <c:strCache>
                <c:ptCount val="1"/>
                <c:pt idx="0">
                  <c:v>2010-11</c:v>
                </c:pt>
              </c:strCache>
            </c:strRef>
          </c:cat>
          <c:val>
            <c:numRef>
              <c:f>'Decomp of prod change3'!$H$4</c:f>
              <c:numCache>
                <c:formatCode>0.00%</c:formatCode>
                <c:ptCount val="1"/>
                <c:pt idx="0">
                  <c:v>3.3378786110833565E-2</c:v>
                </c:pt>
              </c:numCache>
            </c:numRef>
          </c:val>
        </c:ser>
        <c:dLbls>
          <c:showLegendKey val="0"/>
          <c:showVal val="0"/>
          <c:showCatName val="0"/>
          <c:showSerName val="0"/>
          <c:showPercent val="0"/>
          <c:showBubbleSize val="0"/>
        </c:dLbls>
        <c:gapWidth val="150"/>
        <c:overlap val="100"/>
        <c:axId val="541436544"/>
        <c:axId val="542014080"/>
      </c:barChart>
      <c:catAx>
        <c:axId val="541436544"/>
        <c:scaling>
          <c:orientation val="minMax"/>
        </c:scaling>
        <c:delete val="0"/>
        <c:axPos val="b"/>
        <c:majorTickMark val="out"/>
        <c:minorTickMark val="none"/>
        <c:tickLblPos val="low"/>
        <c:crossAx val="542014080"/>
        <c:crosses val="autoZero"/>
        <c:auto val="1"/>
        <c:lblAlgn val="ctr"/>
        <c:lblOffset val="100"/>
        <c:noMultiLvlLbl val="0"/>
      </c:catAx>
      <c:valAx>
        <c:axId val="542014080"/>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54143654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scatterChart>
        <c:scatterStyle val="lineMarker"/>
        <c:varyColors val="0"/>
        <c:ser>
          <c:idx val="0"/>
          <c:order val="0"/>
          <c:spPr>
            <a:ln w="66675">
              <a:noFill/>
            </a:ln>
          </c:spPr>
          <c:marker>
            <c:symbol val="circle"/>
            <c:size val="5"/>
          </c:marker>
          <c:dLbls>
            <c:dLbl>
              <c:idx val="0"/>
              <c:layout/>
              <c:tx>
                <c:rich>
                  <a:bodyPr/>
                  <a:lstStyle/>
                  <a:p>
                    <a:r>
                      <a:rPr lang="en-US" sz="700"/>
                      <a:t>Other non-</a:t>
                    </a:r>
                    <a:br>
                      <a:rPr lang="en-US" sz="700"/>
                    </a:br>
                    <a:r>
                      <a:rPr lang="en-US" sz="700"/>
                      <a:t>market services</a:t>
                    </a:r>
                    <a:endParaRPr lang="en-US"/>
                  </a:p>
                </c:rich>
              </c:tx>
              <c:dLblPos val="r"/>
              <c:showLegendKey val="0"/>
              <c:showVal val="1"/>
              <c:showCatName val="1"/>
              <c:showSerName val="0"/>
              <c:showPercent val="0"/>
              <c:showBubbleSize val="0"/>
            </c:dLbl>
            <c:dLbl>
              <c:idx val="1"/>
              <c:layout/>
              <c:tx>
                <c:rich>
                  <a:bodyPr/>
                  <a:lstStyle/>
                  <a:p>
                    <a:r>
                      <a:rPr lang="en-US"/>
                      <a:t>Agriculture</a:t>
                    </a:r>
                  </a:p>
                </c:rich>
              </c:tx>
              <c:dLblPos val="l"/>
              <c:showLegendKey val="0"/>
              <c:showVal val="1"/>
              <c:showCatName val="1"/>
              <c:showSerName val="0"/>
              <c:showPercent val="0"/>
              <c:showBubbleSize val="0"/>
            </c:dLbl>
            <c:dLbl>
              <c:idx val="2"/>
              <c:layout/>
              <c:tx>
                <c:rich>
                  <a:bodyPr/>
                  <a:lstStyle/>
                  <a:p>
                    <a:r>
                      <a:rPr lang="en-US" sz="700"/>
                      <a:t>Govt services</a:t>
                    </a:r>
                    <a:endParaRPr lang="en-US"/>
                  </a:p>
                </c:rich>
              </c:tx>
              <c:dLblPos val="l"/>
              <c:showLegendKey val="0"/>
              <c:showVal val="1"/>
              <c:showCatName val="1"/>
              <c:showSerName val="0"/>
              <c:showPercent val="0"/>
              <c:showBubbleSize val="0"/>
            </c:dLbl>
            <c:dLbl>
              <c:idx val="3"/>
              <c:layout/>
              <c:tx>
                <c:rich>
                  <a:bodyPr/>
                  <a:lstStyle/>
                  <a:p>
                    <a:r>
                      <a:rPr lang="en-US" sz="700"/>
                      <a:t>Manufacturing</a:t>
                    </a:r>
                    <a:endParaRPr lang="en-US"/>
                  </a:p>
                </c:rich>
              </c:tx>
              <c:dLblPos val="t"/>
              <c:showLegendKey val="0"/>
              <c:showVal val="1"/>
              <c:showCatName val="1"/>
              <c:showSerName val="0"/>
              <c:showPercent val="0"/>
              <c:showBubbleSize val="0"/>
            </c:dLbl>
            <c:dLbl>
              <c:idx val="4"/>
              <c:layout/>
              <c:tx>
                <c:rich>
                  <a:bodyPr/>
                  <a:lstStyle/>
                  <a:p>
                    <a:r>
                      <a:rPr lang="en-US" sz="700"/>
                      <a:t>Distribution services</a:t>
                    </a:r>
                    <a:endParaRPr lang="en-US"/>
                  </a:p>
                </c:rich>
              </c:tx>
              <c:dLblPos val="b"/>
              <c:showLegendKey val="0"/>
              <c:showVal val="1"/>
              <c:showCatName val="1"/>
              <c:showSerName val="0"/>
              <c:showPercent val="0"/>
              <c:showBubbleSize val="0"/>
            </c:dLbl>
            <c:dLbl>
              <c:idx val="5"/>
              <c:layout/>
              <c:tx>
                <c:rich>
                  <a:bodyPr/>
                  <a:lstStyle/>
                  <a:p>
                    <a:r>
                      <a:rPr lang="en-US" sz="700"/>
                      <a:t>Other industry</a:t>
                    </a:r>
                    <a:endParaRPr lang="en-US"/>
                  </a:p>
                </c:rich>
              </c:tx>
              <c:dLblPos val="t"/>
              <c:showLegendKey val="0"/>
              <c:showVal val="1"/>
              <c:showCatName val="1"/>
              <c:showSerName val="0"/>
              <c:showPercent val="0"/>
              <c:showBubbleSize val="0"/>
            </c:dLbl>
            <c:dLbl>
              <c:idx val="6"/>
              <c:layout/>
              <c:tx>
                <c:rich>
                  <a:bodyPr/>
                  <a:lstStyle/>
                  <a:p>
                    <a:r>
                      <a:rPr lang="en-US" sz="700"/>
                      <a:t>Finance</a:t>
                    </a:r>
                    <a:r>
                      <a:rPr lang="en-US" sz="700" baseline="0"/>
                      <a:t> &amp; business</a:t>
                    </a:r>
                  </a:p>
                </c:rich>
              </c:tx>
              <c:dLblPos val="l"/>
              <c:showLegendKey val="0"/>
              <c:showVal val="1"/>
              <c:showCatName val="1"/>
              <c:showSerName val="0"/>
              <c:showPercent val="0"/>
              <c:showBubbleSize val="0"/>
            </c:dLbl>
            <c:dLbl>
              <c:idx val="7"/>
              <c:tx>
                <c:rich>
                  <a:bodyPr/>
                  <a:lstStyle/>
                  <a:p>
                    <a:r>
                      <a:rPr lang="en-US" sz="700"/>
                      <a:t>Mining</a:t>
                    </a:r>
                    <a:endParaRPr lang="en-US"/>
                  </a:p>
                </c:rich>
              </c:tx>
              <c:dLblPos val="l"/>
              <c:showLegendKey val="0"/>
              <c:showVal val="1"/>
              <c:showCatName val="1"/>
              <c:showSerName val="0"/>
              <c:showPercent val="0"/>
              <c:showBubbleSize val="0"/>
            </c:dLbl>
            <c:txPr>
              <a:bodyPr/>
              <a:lstStyle/>
              <a:p>
                <a:pPr>
                  <a:defRPr sz="700"/>
                </a:pPr>
                <a:endParaRPr lang="en-US"/>
              </a:p>
            </c:txPr>
            <c:dLblPos val="t"/>
            <c:showLegendKey val="0"/>
            <c:showVal val="1"/>
            <c:showCatName val="1"/>
            <c:showSerName val="0"/>
            <c:showPercent val="0"/>
            <c:showBubbleSize val="0"/>
            <c:showLeaderLines val="0"/>
          </c:dLbls>
          <c:xVal>
            <c:numRef>
              <c:f>'Productivity gaps3'!$E$6:$E$12</c:f>
              <c:numCache>
                <c:formatCode>#,##0.000</c:formatCode>
                <c:ptCount val="7"/>
                <c:pt idx="0">
                  <c:v>5.827205072969064E-2</c:v>
                </c:pt>
                <c:pt idx="1">
                  <c:v>0.67605636339007935</c:v>
                </c:pt>
                <c:pt idx="2">
                  <c:v>0.72095497772078343</c:v>
                </c:pt>
                <c:pt idx="3">
                  <c:v>0.76569688934948532</c:v>
                </c:pt>
                <c:pt idx="4">
                  <c:v>0.94295929768335218</c:v>
                </c:pt>
                <c:pt idx="5">
                  <c:v>0.96418141873933472</c:v>
                </c:pt>
                <c:pt idx="6">
                  <c:v>0.99728424179717778</c:v>
                </c:pt>
              </c:numCache>
            </c:numRef>
          </c:xVal>
          <c:yVal>
            <c:numRef>
              <c:f>'Productivity gaps3'!$F$6:$F$12</c:f>
              <c:numCache>
                <c:formatCode>#,##0.0</c:formatCode>
                <c:ptCount val="7"/>
                <c:pt idx="0">
                  <c:v>0.29940866048501491</c:v>
                </c:pt>
                <c:pt idx="1">
                  <c:v>0.38183551092318491</c:v>
                </c:pt>
                <c:pt idx="2">
                  <c:v>1.4358751961511171</c:v>
                </c:pt>
                <c:pt idx="3">
                  <c:v>1.5532566535751766</c:v>
                </c:pt>
                <c:pt idx="4">
                  <c:v>1.6059942604561115</c:v>
                </c:pt>
                <c:pt idx="5">
                  <c:v>1.8964957783784195</c:v>
                </c:pt>
                <c:pt idx="6">
                  <c:v>4.0522161126292779</c:v>
                </c:pt>
              </c:numCache>
            </c:numRef>
          </c:yVal>
          <c:smooth val="0"/>
        </c:ser>
        <c:dLbls>
          <c:showLegendKey val="0"/>
          <c:showVal val="1"/>
          <c:showCatName val="0"/>
          <c:showSerName val="0"/>
          <c:showPercent val="0"/>
          <c:showBubbleSize val="0"/>
        </c:dLbls>
        <c:axId val="544983680"/>
        <c:axId val="545091584"/>
      </c:scatterChart>
      <c:valAx>
        <c:axId val="544983680"/>
        <c:scaling>
          <c:orientation val="minMax"/>
          <c:max val="1"/>
        </c:scaling>
        <c:delete val="0"/>
        <c:axPos val="b"/>
        <c:title>
          <c:tx>
            <c:rich>
              <a:bodyPr/>
              <a:lstStyle/>
              <a:p>
                <a:pPr>
                  <a:defRPr b="0"/>
                </a:pPr>
                <a:r>
                  <a:rPr lang="en-US" b="0"/>
                  <a:t>Cumulative share of persons engaged</a:t>
                </a:r>
              </a:p>
            </c:rich>
          </c:tx>
          <c:layout/>
          <c:overlay val="0"/>
        </c:title>
        <c:numFmt formatCode="#,##0.00" sourceLinked="0"/>
        <c:majorTickMark val="out"/>
        <c:minorTickMark val="none"/>
        <c:tickLblPos val="nextTo"/>
        <c:crossAx val="545091584"/>
        <c:crosses val="autoZero"/>
        <c:crossBetween val="midCat"/>
      </c:valAx>
      <c:valAx>
        <c:axId val="545091584"/>
        <c:scaling>
          <c:orientation val="minMax"/>
        </c:scaling>
        <c:delete val="0"/>
        <c:axPos val="l"/>
        <c:majorGridlines/>
        <c:title>
          <c:tx>
            <c:rich>
              <a:bodyPr rot="-5400000" vert="horz"/>
              <a:lstStyle/>
              <a:p>
                <a:pPr>
                  <a:defRPr b="0"/>
                </a:pPr>
                <a:r>
                  <a:rPr lang="en-US" b="0"/>
                  <a:t>Relative productivity</a:t>
                </a:r>
              </a:p>
            </c:rich>
          </c:tx>
          <c:layout/>
          <c:overlay val="0"/>
        </c:title>
        <c:numFmt formatCode="#,##0.0" sourceLinked="0"/>
        <c:majorTickMark val="out"/>
        <c:minorTickMark val="none"/>
        <c:tickLblPos val="nextTo"/>
        <c:crossAx val="544983680"/>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gaps3'!$I$5</c:f>
              <c:strCache>
                <c:ptCount val="1"/>
                <c:pt idx="0">
                  <c:v>Other non market services</c:v>
                </c:pt>
              </c:strCache>
            </c:strRef>
          </c:tx>
          <c:spPr>
            <a:solidFill>
              <a:schemeClr val="accent1"/>
            </a:solidFill>
          </c:spPr>
          <c:cat>
            <c:numRef>
              <c:f>'Productivity gaps3'!$H$6:$H$31</c:f>
              <c:numCache>
                <c:formatCode>General</c:formatCode>
                <c:ptCount val="26"/>
                <c:pt idx="0">
                  <c:v>0</c:v>
                </c:pt>
                <c:pt idx="1">
                  <c:v>0</c:v>
                </c:pt>
                <c:pt idx="2">
                  <c:v>2.9136025364845319</c:v>
                </c:pt>
                <c:pt idx="3">
                  <c:v>5.8272050729690639</c:v>
                </c:pt>
                <c:pt idx="4">
                  <c:v>5.8272050729690639</c:v>
                </c:pt>
                <c:pt idx="5">
                  <c:v>36.716420705988497</c:v>
                </c:pt>
                <c:pt idx="6">
                  <c:v>67.60563633900793</c:v>
                </c:pt>
                <c:pt idx="7">
                  <c:v>67.60563633900793</c:v>
                </c:pt>
                <c:pt idx="8">
                  <c:v>69.850567055543138</c:v>
                </c:pt>
                <c:pt idx="9">
                  <c:v>72.095497772078346</c:v>
                </c:pt>
                <c:pt idx="10">
                  <c:v>72.095497772078346</c:v>
                </c:pt>
                <c:pt idx="11">
                  <c:v>74.332593353513431</c:v>
                </c:pt>
                <c:pt idx="12">
                  <c:v>76.56968893494853</c:v>
                </c:pt>
                <c:pt idx="13">
                  <c:v>76.56968893494853</c:v>
                </c:pt>
                <c:pt idx="14">
                  <c:v>85.432809351641879</c:v>
                </c:pt>
                <c:pt idx="15">
                  <c:v>94.295929768335213</c:v>
                </c:pt>
                <c:pt idx="16">
                  <c:v>94.295929768335213</c:v>
                </c:pt>
                <c:pt idx="17">
                  <c:v>95.357035821134346</c:v>
                </c:pt>
                <c:pt idx="18">
                  <c:v>96.418141873933479</c:v>
                </c:pt>
                <c:pt idx="19">
                  <c:v>96.418141873933479</c:v>
                </c:pt>
                <c:pt idx="20">
                  <c:v>98.073283026825635</c:v>
                </c:pt>
                <c:pt idx="21">
                  <c:v>99.728424179717777</c:v>
                </c:pt>
                <c:pt idx="22">
                  <c:v>99.728424179717777</c:v>
                </c:pt>
                <c:pt idx="23">
                  <c:v>99.864212089858881</c:v>
                </c:pt>
                <c:pt idx="24">
                  <c:v>100</c:v>
                </c:pt>
                <c:pt idx="25">
                  <c:v>100</c:v>
                </c:pt>
              </c:numCache>
            </c:numRef>
          </c:cat>
          <c:val>
            <c:numRef>
              <c:f>'Productivity gaps3'!$I$6:$I$31</c:f>
              <c:numCache>
                <c:formatCode>General</c:formatCode>
                <c:ptCount val="26"/>
                <c:pt idx="0">
                  <c:v>0</c:v>
                </c:pt>
                <c:pt idx="1">
                  <c:v>0.29940866048501491</c:v>
                </c:pt>
                <c:pt idx="2">
                  <c:v>0.29940866048501491</c:v>
                </c:pt>
                <c:pt idx="3">
                  <c:v>0.29940866048501491</c:v>
                </c:pt>
                <c:pt idx="4">
                  <c:v>0</c:v>
                </c:pt>
              </c:numCache>
            </c:numRef>
          </c:val>
        </c:ser>
        <c:ser>
          <c:idx val="1"/>
          <c:order val="1"/>
          <c:tx>
            <c:strRef>
              <c:f>'Productivity gaps3'!$J$5</c:f>
              <c:strCache>
                <c:ptCount val="1"/>
                <c:pt idx="0">
                  <c:v>Agriculture</c:v>
                </c:pt>
              </c:strCache>
            </c:strRef>
          </c:tx>
          <c:spPr>
            <a:solidFill>
              <a:schemeClr val="accent6"/>
            </a:solidFill>
          </c:spPr>
          <c:cat>
            <c:numRef>
              <c:f>'Productivity gaps3'!$H$6:$H$31</c:f>
              <c:numCache>
                <c:formatCode>General</c:formatCode>
                <c:ptCount val="26"/>
                <c:pt idx="0">
                  <c:v>0</c:v>
                </c:pt>
                <c:pt idx="1">
                  <c:v>0</c:v>
                </c:pt>
                <c:pt idx="2">
                  <c:v>2.9136025364845319</c:v>
                </c:pt>
                <c:pt idx="3">
                  <c:v>5.8272050729690639</c:v>
                </c:pt>
                <c:pt idx="4">
                  <c:v>5.8272050729690639</c:v>
                </c:pt>
                <c:pt idx="5">
                  <c:v>36.716420705988497</c:v>
                </c:pt>
                <c:pt idx="6">
                  <c:v>67.60563633900793</c:v>
                </c:pt>
                <c:pt idx="7">
                  <c:v>67.60563633900793</c:v>
                </c:pt>
                <c:pt idx="8">
                  <c:v>69.850567055543138</c:v>
                </c:pt>
                <c:pt idx="9">
                  <c:v>72.095497772078346</c:v>
                </c:pt>
                <c:pt idx="10">
                  <c:v>72.095497772078346</c:v>
                </c:pt>
                <c:pt idx="11">
                  <c:v>74.332593353513431</c:v>
                </c:pt>
                <c:pt idx="12">
                  <c:v>76.56968893494853</c:v>
                </c:pt>
                <c:pt idx="13">
                  <c:v>76.56968893494853</c:v>
                </c:pt>
                <c:pt idx="14">
                  <c:v>85.432809351641879</c:v>
                </c:pt>
                <c:pt idx="15">
                  <c:v>94.295929768335213</c:v>
                </c:pt>
                <c:pt idx="16">
                  <c:v>94.295929768335213</c:v>
                </c:pt>
                <c:pt idx="17">
                  <c:v>95.357035821134346</c:v>
                </c:pt>
                <c:pt idx="18">
                  <c:v>96.418141873933479</c:v>
                </c:pt>
                <c:pt idx="19">
                  <c:v>96.418141873933479</c:v>
                </c:pt>
                <c:pt idx="20">
                  <c:v>98.073283026825635</c:v>
                </c:pt>
                <c:pt idx="21">
                  <c:v>99.728424179717777</c:v>
                </c:pt>
                <c:pt idx="22">
                  <c:v>99.728424179717777</c:v>
                </c:pt>
                <c:pt idx="23">
                  <c:v>99.864212089858881</c:v>
                </c:pt>
                <c:pt idx="24">
                  <c:v>100</c:v>
                </c:pt>
                <c:pt idx="25">
                  <c:v>100</c:v>
                </c:pt>
              </c:numCache>
            </c:numRef>
          </c:cat>
          <c:val>
            <c:numRef>
              <c:f>'Productivity gaps3'!$J$6:$J$31</c:f>
              <c:numCache>
                <c:formatCode>General</c:formatCode>
                <c:ptCount val="26"/>
                <c:pt idx="3">
                  <c:v>0</c:v>
                </c:pt>
                <c:pt idx="4">
                  <c:v>0.38183551092318491</c:v>
                </c:pt>
                <c:pt idx="5">
                  <c:v>0.38183551092318491</c:v>
                </c:pt>
                <c:pt idx="6">
                  <c:v>0.38183551092318491</c:v>
                </c:pt>
                <c:pt idx="7">
                  <c:v>0</c:v>
                </c:pt>
              </c:numCache>
            </c:numRef>
          </c:val>
        </c:ser>
        <c:ser>
          <c:idx val="2"/>
          <c:order val="2"/>
          <c:tx>
            <c:strRef>
              <c:f>'Productivity gaps3'!$K$5</c:f>
              <c:strCache>
                <c:ptCount val="1"/>
                <c:pt idx="0">
                  <c:v>Government services</c:v>
                </c:pt>
              </c:strCache>
            </c:strRef>
          </c:tx>
          <c:spPr>
            <a:solidFill>
              <a:schemeClr val="accent3"/>
            </a:solidFill>
          </c:spPr>
          <c:cat>
            <c:numRef>
              <c:f>'Productivity gaps3'!$H$6:$H$31</c:f>
              <c:numCache>
                <c:formatCode>General</c:formatCode>
                <c:ptCount val="26"/>
                <c:pt idx="0">
                  <c:v>0</c:v>
                </c:pt>
                <c:pt idx="1">
                  <c:v>0</c:v>
                </c:pt>
                <c:pt idx="2">
                  <c:v>2.9136025364845319</c:v>
                </c:pt>
                <c:pt idx="3">
                  <c:v>5.8272050729690639</c:v>
                </c:pt>
                <c:pt idx="4">
                  <c:v>5.8272050729690639</c:v>
                </c:pt>
                <c:pt idx="5">
                  <c:v>36.716420705988497</c:v>
                </c:pt>
                <c:pt idx="6">
                  <c:v>67.60563633900793</c:v>
                </c:pt>
                <c:pt idx="7">
                  <c:v>67.60563633900793</c:v>
                </c:pt>
                <c:pt idx="8">
                  <c:v>69.850567055543138</c:v>
                </c:pt>
                <c:pt idx="9">
                  <c:v>72.095497772078346</c:v>
                </c:pt>
                <c:pt idx="10">
                  <c:v>72.095497772078346</c:v>
                </c:pt>
                <c:pt idx="11">
                  <c:v>74.332593353513431</c:v>
                </c:pt>
                <c:pt idx="12">
                  <c:v>76.56968893494853</c:v>
                </c:pt>
                <c:pt idx="13">
                  <c:v>76.56968893494853</c:v>
                </c:pt>
                <c:pt idx="14">
                  <c:v>85.432809351641879</c:v>
                </c:pt>
                <c:pt idx="15">
                  <c:v>94.295929768335213</c:v>
                </c:pt>
                <c:pt idx="16">
                  <c:v>94.295929768335213</c:v>
                </c:pt>
                <c:pt idx="17">
                  <c:v>95.357035821134346</c:v>
                </c:pt>
                <c:pt idx="18">
                  <c:v>96.418141873933479</c:v>
                </c:pt>
                <c:pt idx="19">
                  <c:v>96.418141873933479</c:v>
                </c:pt>
                <c:pt idx="20">
                  <c:v>98.073283026825635</c:v>
                </c:pt>
                <c:pt idx="21">
                  <c:v>99.728424179717777</c:v>
                </c:pt>
                <c:pt idx="22">
                  <c:v>99.728424179717777</c:v>
                </c:pt>
                <c:pt idx="23">
                  <c:v>99.864212089858881</c:v>
                </c:pt>
                <c:pt idx="24">
                  <c:v>100</c:v>
                </c:pt>
                <c:pt idx="25">
                  <c:v>100</c:v>
                </c:pt>
              </c:numCache>
            </c:numRef>
          </c:cat>
          <c:val>
            <c:numRef>
              <c:f>'Productivity gaps3'!$K$6:$K$31</c:f>
              <c:numCache>
                <c:formatCode>General</c:formatCode>
                <c:ptCount val="26"/>
                <c:pt idx="6">
                  <c:v>0</c:v>
                </c:pt>
                <c:pt idx="7">
                  <c:v>1.4358751961511171</c:v>
                </c:pt>
                <c:pt idx="8">
                  <c:v>1.4358751961511171</c:v>
                </c:pt>
                <c:pt idx="9">
                  <c:v>1.4358751961511171</c:v>
                </c:pt>
                <c:pt idx="10">
                  <c:v>0</c:v>
                </c:pt>
              </c:numCache>
            </c:numRef>
          </c:val>
        </c:ser>
        <c:ser>
          <c:idx val="3"/>
          <c:order val="3"/>
          <c:tx>
            <c:strRef>
              <c:f>'Productivity gaps3'!$L$5</c:f>
              <c:strCache>
                <c:ptCount val="1"/>
                <c:pt idx="0">
                  <c:v>Manufacturing</c:v>
                </c:pt>
              </c:strCache>
            </c:strRef>
          </c:tx>
          <c:spPr>
            <a:solidFill>
              <a:schemeClr val="bg1">
                <a:lumMod val="65000"/>
              </a:schemeClr>
            </a:solidFill>
          </c:spPr>
          <c:cat>
            <c:numRef>
              <c:f>'Productivity gaps3'!$H$6:$H$31</c:f>
              <c:numCache>
                <c:formatCode>General</c:formatCode>
                <c:ptCount val="26"/>
                <c:pt idx="0">
                  <c:v>0</c:v>
                </c:pt>
                <c:pt idx="1">
                  <c:v>0</c:v>
                </c:pt>
                <c:pt idx="2">
                  <c:v>2.9136025364845319</c:v>
                </c:pt>
                <c:pt idx="3">
                  <c:v>5.8272050729690639</c:v>
                </c:pt>
                <c:pt idx="4">
                  <c:v>5.8272050729690639</c:v>
                </c:pt>
                <c:pt idx="5">
                  <c:v>36.716420705988497</c:v>
                </c:pt>
                <c:pt idx="6">
                  <c:v>67.60563633900793</c:v>
                </c:pt>
                <c:pt idx="7">
                  <c:v>67.60563633900793</c:v>
                </c:pt>
                <c:pt idx="8">
                  <c:v>69.850567055543138</c:v>
                </c:pt>
                <c:pt idx="9">
                  <c:v>72.095497772078346</c:v>
                </c:pt>
                <c:pt idx="10">
                  <c:v>72.095497772078346</c:v>
                </c:pt>
                <c:pt idx="11">
                  <c:v>74.332593353513431</c:v>
                </c:pt>
                <c:pt idx="12">
                  <c:v>76.56968893494853</c:v>
                </c:pt>
                <c:pt idx="13">
                  <c:v>76.56968893494853</c:v>
                </c:pt>
                <c:pt idx="14">
                  <c:v>85.432809351641879</c:v>
                </c:pt>
                <c:pt idx="15">
                  <c:v>94.295929768335213</c:v>
                </c:pt>
                <c:pt idx="16">
                  <c:v>94.295929768335213</c:v>
                </c:pt>
                <c:pt idx="17">
                  <c:v>95.357035821134346</c:v>
                </c:pt>
                <c:pt idx="18">
                  <c:v>96.418141873933479</c:v>
                </c:pt>
                <c:pt idx="19">
                  <c:v>96.418141873933479</c:v>
                </c:pt>
                <c:pt idx="20">
                  <c:v>98.073283026825635</c:v>
                </c:pt>
                <c:pt idx="21">
                  <c:v>99.728424179717777</c:v>
                </c:pt>
                <c:pt idx="22">
                  <c:v>99.728424179717777</c:v>
                </c:pt>
                <c:pt idx="23">
                  <c:v>99.864212089858881</c:v>
                </c:pt>
                <c:pt idx="24">
                  <c:v>100</c:v>
                </c:pt>
                <c:pt idx="25">
                  <c:v>100</c:v>
                </c:pt>
              </c:numCache>
            </c:numRef>
          </c:cat>
          <c:val>
            <c:numRef>
              <c:f>'Productivity gaps3'!$L$6:$L$31</c:f>
              <c:numCache>
                <c:formatCode>General</c:formatCode>
                <c:ptCount val="26"/>
                <c:pt idx="9">
                  <c:v>0</c:v>
                </c:pt>
                <c:pt idx="10">
                  <c:v>1.5532566535751766</c:v>
                </c:pt>
                <c:pt idx="11">
                  <c:v>1.5532566535751766</c:v>
                </c:pt>
                <c:pt idx="12">
                  <c:v>1.5532566535751766</c:v>
                </c:pt>
                <c:pt idx="13">
                  <c:v>0</c:v>
                </c:pt>
              </c:numCache>
            </c:numRef>
          </c:val>
        </c:ser>
        <c:ser>
          <c:idx val="4"/>
          <c:order val="4"/>
          <c:tx>
            <c:strRef>
              <c:f>'Productivity gaps3'!$M$5</c:f>
              <c:strCache>
                <c:ptCount val="1"/>
                <c:pt idx="0">
                  <c:v>Distribution services</c:v>
                </c:pt>
              </c:strCache>
            </c:strRef>
          </c:tx>
          <c:spPr>
            <a:solidFill>
              <a:schemeClr val="accent5"/>
            </a:solidFill>
          </c:spPr>
          <c:cat>
            <c:numRef>
              <c:f>'Productivity gaps3'!$H$6:$H$31</c:f>
              <c:numCache>
                <c:formatCode>General</c:formatCode>
                <c:ptCount val="26"/>
                <c:pt idx="0">
                  <c:v>0</c:v>
                </c:pt>
                <c:pt idx="1">
                  <c:v>0</c:v>
                </c:pt>
                <c:pt idx="2">
                  <c:v>2.9136025364845319</c:v>
                </c:pt>
                <c:pt idx="3">
                  <c:v>5.8272050729690639</c:v>
                </c:pt>
                <c:pt idx="4">
                  <c:v>5.8272050729690639</c:v>
                </c:pt>
                <c:pt idx="5">
                  <c:v>36.716420705988497</c:v>
                </c:pt>
                <c:pt idx="6">
                  <c:v>67.60563633900793</c:v>
                </c:pt>
                <c:pt idx="7">
                  <c:v>67.60563633900793</c:v>
                </c:pt>
                <c:pt idx="8">
                  <c:v>69.850567055543138</c:v>
                </c:pt>
                <c:pt idx="9">
                  <c:v>72.095497772078346</c:v>
                </c:pt>
                <c:pt idx="10">
                  <c:v>72.095497772078346</c:v>
                </c:pt>
                <c:pt idx="11">
                  <c:v>74.332593353513431</c:v>
                </c:pt>
                <c:pt idx="12">
                  <c:v>76.56968893494853</c:v>
                </c:pt>
                <c:pt idx="13">
                  <c:v>76.56968893494853</c:v>
                </c:pt>
                <c:pt idx="14">
                  <c:v>85.432809351641879</c:v>
                </c:pt>
                <c:pt idx="15">
                  <c:v>94.295929768335213</c:v>
                </c:pt>
                <c:pt idx="16">
                  <c:v>94.295929768335213</c:v>
                </c:pt>
                <c:pt idx="17">
                  <c:v>95.357035821134346</c:v>
                </c:pt>
                <c:pt idx="18">
                  <c:v>96.418141873933479</c:v>
                </c:pt>
                <c:pt idx="19">
                  <c:v>96.418141873933479</c:v>
                </c:pt>
                <c:pt idx="20">
                  <c:v>98.073283026825635</c:v>
                </c:pt>
                <c:pt idx="21">
                  <c:v>99.728424179717777</c:v>
                </c:pt>
                <c:pt idx="22">
                  <c:v>99.728424179717777</c:v>
                </c:pt>
                <c:pt idx="23">
                  <c:v>99.864212089858881</c:v>
                </c:pt>
                <c:pt idx="24">
                  <c:v>100</c:v>
                </c:pt>
                <c:pt idx="25">
                  <c:v>100</c:v>
                </c:pt>
              </c:numCache>
            </c:numRef>
          </c:cat>
          <c:val>
            <c:numRef>
              <c:f>'Productivity gaps3'!$M$6:$M$31</c:f>
              <c:numCache>
                <c:formatCode>General</c:formatCode>
                <c:ptCount val="26"/>
                <c:pt idx="12">
                  <c:v>0</c:v>
                </c:pt>
                <c:pt idx="13">
                  <c:v>1.6059942604561115</c:v>
                </c:pt>
                <c:pt idx="14">
                  <c:v>1.6059942604561115</c:v>
                </c:pt>
                <c:pt idx="15">
                  <c:v>1.6059942604561115</c:v>
                </c:pt>
                <c:pt idx="16">
                  <c:v>0</c:v>
                </c:pt>
              </c:numCache>
            </c:numRef>
          </c:val>
        </c:ser>
        <c:ser>
          <c:idx val="5"/>
          <c:order val="5"/>
          <c:tx>
            <c:strRef>
              <c:f>'Productivity gaps3'!$N$5</c:f>
              <c:strCache>
                <c:ptCount val="1"/>
                <c:pt idx="0">
                  <c:v>Other industry</c:v>
                </c:pt>
              </c:strCache>
            </c:strRef>
          </c:tx>
          <c:spPr>
            <a:solidFill>
              <a:schemeClr val="accent2"/>
            </a:solidFill>
          </c:spPr>
          <c:cat>
            <c:numRef>
              <c:f>'Productivity gaps3'!$H$6:$H$31</c:f>
              <c:numCache>
                <c:formatCode>General</c:formatCode>
                <c:ptCount val="26"/>
                <c:pt idx="0">
                  <c:v>0</c:v>
                </c:pt>
                <c:pt idx="1">
                  <c:v>0</c:v>
                </c:pt>
                <c:pt idx="2">
                  <c:v>2.9136025364845319</c:v>
                </c:pt>
                <c:pt idx="3">
                  <c:v>5.8272050729690639</c:v>
                </c:pt>
                <c:pt idx="4">
                  <c:v>5.8272050729690639</c:v>
                </c:pt>
                <c:pt idx="5">
                  <c:v>36.716420705988497</c:v>
                </c:pt>
                <c:pt idx="6">
                  <c:v>67.60563633900793</c:v>
                </c:pt>
                <c:pt idx="7">
                  <c:v>67.60563633900793</c:v>
                </c:pt>
                <c:pt idx="8">
                  <c:v>69.850567055543138</c:v>
                </c:pt>
                <c:pt idx="9">
                  <c:v>72.095497772078346</c:v>
                </c:pt>
                <c:pt idx="10">
                  <c:v>72.095497772078346</c:v>
                </c:pt>
                <c:pt idx="11">
                  <c:v>74.332593353513431</c:v>
                </c:pt>
                <c:pt idx="12">
                  <c:v>76.56968893494853</c:v>
                </c:pt>
                <c:pt idx="13">
                  <c:v>76.56968893494853</c:v>
                </c:pt>
                <c:pt idx="14">
                  <c:v>85.432809351641879</c:v>
                </c:pt>
                <c:pt idx="15">
                  <c:v>94.295929768335213</c:v>
                </c:pt>
                <c:pt idx="16">
                  <c:v>94.295929768335213</c:v>
                </c:pt>
                <c:pt idx="17">
                  <c:v>95.357035821134346</c:v>
                </c:pt>
                <c:pt idx="18">
                  <c:v>96.418141873933479</c:v>
                </c:pt>
                <c:pt idx="19">
                  <c:v>96.418141873933479</c:v>
                </c:pt>
                <c:pt idx="20">
                  <c:v>98.073283026825635</c:v>
                </c:pt>
                <c:pt idx="21">
                  <c:v>99.728424179717777</c:v>
                </c:pt>
                <c:pt idx="22">
                  <c:v>99.728424179717777</c:v>
                </c:pt>
                <c:pt idx="23">
                  <c:v>99.864212089858881</c:v>
                </c:pt>
                <c:pt idx="24">
                  <c:v>100</c:v>
                </c:pt>
                <c:pt idx="25">
                  <c:v>100</c:v>
                </c:pt>
              </c:numCache>
            </c:numRef>
          </c:cat>
          <c:val>
            <c:numRef>
              <c:f>'Productivity gaps3'!$N$6:$N$31</c:f>
              <c:numCache>
                <c:formatCode>General</c:formatCode>
                <c:ptCount val="26"/>
                <c:pt idx="15">
                  <c:v>0</c:v>
                </c:pt>
                <c:pt idx="16">
                  <c:v>1.8964957783784195</c:v>
                </c:pt>
                <c:pt idx="17">
                  <c:v>1.8964957783784195</c:v>
                </c:pt>
                <c:pt idx="18">
                  <c:v>1.8964957783784195</c:v>
                </c:pt>
                <c:pt idx="19">
                  <c:v>0</c:v>
                </c:pt>
              </c:numCache>
            </c:numRef>
          </c:val>
        </c:ser>
        <c:ser>
          <c:idx val="6"/>
          <c:order val="6"/>
          <c:tx>
            <c:strRef>
              <c:f>'Productivity gaps3'!$O$5</c:f>
              <c:strCache>
                <c:ptCount val="1"/>
                <c:pt idx="0">
                  <c:v>Finance and business services</c:v>
                </c:pt>
              </c:strCache>
            </c:strRef>
          </c:tx>
          <c:spPr>
            <a:solidFill>
              <a:schemeClr val="accent6">
                <a:lumMod val="50000"/>
              </a:schemeClr>
            </a:solidFill>
          </c:spPr>
          <c:cat>
            <c:numRef>
              <c:f>'Productivity gaps3'!$H$6:$H$31</c:f>
              <c:numCache>
                <c:formatCode>General</c:formatCode>
                <c:ptCount val="26"/>
                <c:pt idx="0">
                  <c:v>0</c:v>
                </c:pt>
                <c:pt idx="1">
                  <c:v>0</c:v>
                </c:pt>
                <c:pt idx="2">
                  <c:v>2.9136025364845319</c:v>
                </c:pt>
                <c:pt idx="3">
                  <c:v>5.8272050729690639</c:v>
                </c:pt>
                <c:pt idx="4">
                  <c:v>5.8272050729690639</c:v>
                </c:pt>
                <c:pt idx="5">
                  <c:v>36.716420705988497</c:v>
                </c:pt>
                <c:pt idx="6">
                  <c:v>67.60563633900793</c:v>
                </c:pt>
                <c:pt idx="7">
                  <c:v>67.60563633900793</c:v>
                </c:pt>
                <c:pt idx="8">
                  <c:v>69.850567055543138</c:v>
                </c:pt>
                <c:pt idx="9">
                  <c:v>72.095497772078346</c:v>
                </c:pt>
                <c:pt idx="10">
                  <c:v>72.095497772078346</c:v>
                </c:pt>
                <c:pt idx="11">
                  <c:v>74.332593353513431</c:v>
                </c:pt>
                <c:pt idx="12">
                  <c:v>76.56968893494853</c:v>
                </c:pt>
                <c:pt idx="13">
                  <c:v>76.56968893494853</c:v>
                </c:pt>
                <c:pt idx="14">
                  <c:v>85.432809351641879</c:v>
                </c:pt>
                <c:pt idx="15">
                  <c:v>94.295929768335213</c:v>
                </c:pt>
                <c:pt idx="16">
                  <c:v>94.295929768335213</c:v>
                </c:pt>
                <c:pt idx="17">
                  <c:v>95.357035821134346</c:v>
                </c:pt>
                <c:pt idx="18">
                  <c:v>96.418141873933479</c:v>
                </c:pt>
                <c:pt idx="19">
                  <c:v>96.418141873933479</c:v>
                </c:pt>
                <c:pt idx="20">
                  <c:v>98.073283026825635</c:v>
                </c:pt>
                <c:pt idx="21">
                  <c:v>99.728424179717777</c:v>
                </c:pt>
                <c:pt idx="22">
                  <c:v>99.728424179717777</c:v>
                </c:pt>
                <c:pt idx="23">
                  <c:v>99.864212089858881</c:v>
                </c:pt>
                <c:pt idx="24">
                  <c:v>100</c:v>
                </c:pt>
                <c:pt idx="25">
                  <c:v>100</c:v>
                </c:pt>
              </c:numCache>
            </c:numRef>
          </c:cat>
          <c:val>
            <c:numRef>
              <c:f>'Productivity gaps3'!$O$6:$O$31</c:f>
              <c:numCache>
                <c:formatCode>General</c:formatCode>
                <c:ptCount val="26"/>
                <c:pt idx="18">
                  <c:v>0</c:v>
                </c:pt>
                <c:pt idx="19">
                  <c:v>4.0522161126292779</c:v>
                </c:pt>
                <c:pt idx="20">
                  <c:v>4.0522161126292779</c:v>
                </c:pt>
                <c:pt idx="21">
                  <c:v>4.0522161126292779</c:v>
                </c:pt>
                <c:pt idx="22">
                  <c:v>0</c:v>
                </c:pt>
              </c:numCache>
            </c:numRef>
          </c:val>
        </c:ser>
        <c:dLbls>
          <c:showLegendKey val="0"/>
          <c:showVal val="0"/>
          <c:showCatName val="0"/>
          <c:showSerName val="0"/>
          <c:showPercent val="0"/>
          <c:showBubbleSize val="0"/>
        </c:dLbls>
        <c:axId val="545523200"/>
        <c:axId val="545539200"/>
      </c:areaChart>
      <c:dateAx>
        <c:axId val="545523200"/>
        <c:scaling>
          <c:orientation val="minMax"/>
          <c:max val="100"/>
        </c:scaling>
        <c:delete val="0"/>
        <c:axPos val="b"/>
        <c:title>
          <c:tx>
            <c:rich>
              <a:bodyPr/>
              <a:lstStyle/>
              <a:p>
                <a:pPr>
                  <a:defRPr b="0"/>
                </a:pPr>
                <a:r>
                  <a:rPr lang="en-GB" b="0"/>
                  <a:t>Cumulative share of persons engaged (%)</a:t>
                </a:r>
              </a:p>
            </c:rich>
          </c:tx>
          <c:layout/>
          <c:overlay val="0"/>
        </c:title>
        <c:numFmt formatCode="0" sourceLinked="0"/>
        <c:majorTickMark val="out"/>
        <c:minorTickMark val="none"/>
        <c:tickLblPos val="nextTo"/>
        <c:crossAx val="545539200"/>
        <c:crosses val="autoZero"/>
        <c:auto val="0"/>
        <c:lblOffset val="100"/>
        <c:baseTimeUnit val="days"/>
        <c:majorUnit val="25"/>
        <c:majorTimeUnit val="days"/>
      </c:dateAx>
      <c:valAx>
        <c:axId val="545539200"/>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545523200"/>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emp1'!$C$5:$H$5</c:f>
              <c:numCache>
                <c:formatCode>0%</c:formatCode>
                <c:ptCount val="6"/>
                <c:pt idx="0">
                  <c:v>0.55494552629321448</c:v>
                </c:pt>
                <c:pt idx="1">
                  <c:v>0.60653508078284224</c:v>
                </c:pt>
                <c:pt idx="2">
                  <c:v>0.64269031732114468</c:v>
                </c:pt>
                <c:pt idx="3">
                  <c:v>0.66798336176001061</c:v>
                </c:pt>
                <c:pt idx="4">
                  <c:v>0.68100074845668856</c:v>
                </c:pt>
                <c:pt idx="5">
                  <c:v>0.69159706970618673</c:v>
                </c:pt>
              </c:numCache>
            </c:numRef>
          </c:val>
        </c:ser>
        <c:ser>
          <c:idx val="1"/>
          <c:order val="1"/>
          <c:tx>
            <c:v>Female</c:v>
          </c:tx>
          <c:spPr>
            <a:solidFill>
              <a:srgbClr val="F7941E"/>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emp1'!$J$5:$O$5</c:f>
              <c:numCache>
                <c:formatCode>0%</c:formatCode>
                <c:ptCount val="6"/>
                <c:pt idx="0">
                  <c:v>0.44505447370678558</c:v>
                </c:pt>
                <c:pt idx="1">
                  <c:v>0.39346491921715776</c:v>
                </c:pt>
                <c:pt idx="2">
                  <c:v>0.35730968267885538</c:v>
                </c:pt>
                <c:pt idx="3">
                  <c:v>0.33201663823998934</c:v>
                </c:pt>
                <c:pt idx="4">
                  <c:v>0.31899925154331149</c:v>
                </c:pt>
                <c:pt idx="5">
                  <c:v>0.30840293029381322</c:v>
                </c:pt>
              </c:numCache>
            </c:numRef>
          </c:val>
        </c:ser>
        <c:dLbls>
          <c:showLegendKey val="0"/>
          <c:showVal val="0"/>
          <c:showCatName val="0"/>
          <c:showSerName val="0"/>
          <c:showPercent val="0"/>
          <c:showBubbleSize val="0"/>
        </c:dLbls>
        <c:gapWidth val="150"/>
        <c:axId val="545680384"/>
        <c:axId val="545699328"/>
      </c:barChart>
      <c:catAx>
        <c:axId val="545680384"/>
        <c:scaling>
          <c:orientation val="minMax"/>
        </c:scaling>
        <c:delete val="0"/>
        <c:axPos val="b"/>
        <c:numFmt formatCode="General" sourceLinked="1"/>
        <c:majorTickMark val="out"/>
        <c:minorTickMark val="none"/>
        <c:tickLblPos val="nextTo"/>
        <c:txPr>
          <a:bodyPr/>
          <a:lstStyle/>
          <a:p>
            <a:pPr>
              <a:defRPr sz="700"/>
            </a:pPr>
            <a:endParaRPr lang="en-US"/>
          </a:p>
        </c:txPr>
        <c:crossAx val="545699328"/>
        <c:crosses val="autoZero"/>
        <c:auto val="1"/>
        <c:lblAlgn val="ctr"/>
        <c:lblOffset val="100"/>
        <c:noMultiLvlLbl val="0"/>
      </c:catAx>
      <c:valAx>
        <c:axId val="545699328"/>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545680384"/>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emp1'!$C$6:$H$6</c:f>
              <c:numCache>
                <c:formatCode>0%</c:formatCode>
                <c:ptCount val="6"/>
                <c:pt idx="0">
                  <c:v>1</c:v>
                </c:pt>
                <c:pt idx="1">
                  <c:v>1</c:v>
                </c:pt>
                <c:pt idx="2">
                  <c:v>0.90374183636922034</c:v>
                </c:pt>
                <c:pt idx="3">
                  <c:v>0.84477420724881758</c:v>
                </c:pt>
                <c:pt idx="4">
                  <c:v>0.81674930680401059</c:v>
                </c:pt>
                <c:pt idx="5">
                  <c:v>0.79500027305990939</c:v>
                </c:pt>
              </c:numCache>
            </c:numRef>
          </c:val>
        </c:ser>
        <c:ser>
          <c:idx val="1"/>
          <c:order val="1"/>
          <c:tx>
            <c:v>Female</c:v>
          </c:tx>
          <c:spPr>
            <a:solidFill>
              <a:srgbClr val="F7941E"/>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emp1'!$J$6:$O$6</c:f>
              <c:numCache>
                <c:formatCode>0%</c:formatCode>
                <c:ptCount val="6"/>
                <c:pt idx="0">
                  <c:v>0</c:v>
                </c:pt>
                <c:pt idx="1">
                  <c:v>0</c:v>
                </c:pt>
                <c:pt idx="2">
                  <c:v>9.6258163630779658E-2</c:v>
                </c:pt>
                <c:pt idx="3">
                  <c:v>0.15522579275118245</c:v>
                </c:pt>
                <c:pt idx="4">
                  <c:v>0.18325069319598938</c:v>
                </c:pt>
                <c:pt idx="5">
                  <c:v>0.20499972694009061</c:v>
                </c:pt>
              </c:numCache>
            </c:numRef>
          </c:val>
        </c:ser>
        <c:dLbls>
          <c:showLegendKey val="0"/>
          <c:showVal val="0"/>
          <c:showCatName val="0"/>
          <c:showSerName val="0"/>
          <c:showPercent val="0"/>
          <c:showBubbleSize val="0"/>
        </c:dLbls>
        <c:gapWidth val="150"/>
        <c:axId val="546408704"/>
        <c:axId val="546460032"/>
      </c:barChart>
      <c:catAx>
        <c:axId val="546408704"/>
        <c:scaling>
          <c:orientation val="minMax"/>
        </c:scaling>
        <c:delete val="0"/>
        <c:axPos val="b"/>
        <c:numFmt formatCode="General" sourceLinked="1"/>
        <c:majorTickMark val="out"/>
        <c:minorTickMark val="none"/>
        <c:tickLblPos val="nextTo"/>
        <c:txPr>
          <a:bodyPr/>
          <a:lstStyle/>
          <a:p>
            <a:pPr>
              <a:defRPr sz="700"/>
            </a:pPr>
            <a:endParaRPr lang="en-US"/>
          </a:p>
        </c:txPr>
        <c:crossAx val="546460032"/>
        <c:crosses val="autoZero"/>
        <c:auto val="1"/>
        <c:lblAlgn val="ctr"/>
        <c:lblOffset val="100"/>
        <c:noMultiLvlLbl val="0"/>
      </c:catAx>
      <c:valAx>
        <c:axId val="54646003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546408704"/>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emp1'!$C$7:$H$7</c:f>
              <c:numCache>
                <c:formatCode>0%</c:formatCode>
                <c:ptCount val="6"/>
                <c:pt idx="0">
                  <c:v>1</c:v>
                </c:pt>
                <c:pt idx="1">
                  <c:v>0.34598176325213548</c:v>
                </c:pt>
                <c:pt idx="2">
                  <c:v>0.36614027039278224</c:v>
                </c:pt>
                <c:pt idx="3">
                  <c:v>0.38022764652805874</c:v>
                </c:pt>
                <c:pt idx="4">
                  <c:v>0.38747330594301854</c:v>
                </c:pt>
                <c:pt idx="5">
                  <c:v>0.39336912122915496</c:v>
                </c:pt>
              </c:numCache>
            </c:numRef>
          </c:val>
        </c:ser>
        <c:ser>
          <c:idx val="1"/>
          <c:order val="1"/>
          <c:tx>
            <c:v>Female</c:v>
          </c:tx>
          <c:spPr>
            <a:solidFill>
              <a:srgbClr val="F7941E"/>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emp1'!$J$7:$O$7</c:f>
              <c:numCache>
                <c:formatCode>0%</c:formatCode>
                <c:ptCount val="6"/>
                <c:pt idx="0">
                  <c:v>0</c:v>
                </c:pt>
                <c:pt idx="1">
                  <c:v>0.65401823674786452</c:v>
                </c:pt>
                <c:pt idx="2">
                  <c:v>0.6338597296072177</c:v>
                </c:pt>
                <c:pt idx="3">
                  <c:v>0.61977235347194137</c:v>
                </c:pt>
                <c:pt idx="4">
                  <c:v>0.61252669405698146</c:v>
                </c:pt>
                <c:pt idx="5">
                  <c:v>0.60663087877084498</c:v>
                </c:pt>
              </c:numCache>
            </c:numRef>
          </c:val>
        </c:ser>
        <c:dLbls>
          <c:showLegendKey val="0"/>
          <c:showVal val="0"/>
          <c:showCatName val="0"/>
          <c:showSerName val="0"/>
          <c:showPercent val="0"/>
          <c:showBubbleSize val="0"/>
        </c:dLbls>
        <c:gapWidth val="150"/>
        <c:axId val="546625792"/>
        <c:axId val="547480320"/>
      </c:barChart>
      <c:catAx>
        <c:axId val="546625792"/>
        <c:scaling>
          <c:orientation val="minMax"/>
        </c:scaling>
        <c:delete val="0"/>
        <c:axPos val="b"/>
        <c:numFmt formatCode="General" sourceLinked="1"/>
        <c:majorTickMark val="out"/>
        <c:minorTickMark val="none"/>
        <c:tickLblPos val="nextTo"/>
        <c:crossAx val="547480320"/>
        <c:crosses val="autoZero"/>
        <c:auto val="1"/>
        <c:lblAlgn val="ctr"/>
        <c:lblOffset val="100"/>
        <c:noMultiLvlLbl val="0"/>
      </c:catAx>
      <c:valAx>
        <c:axId val="547480320"/>
        <c:scaling>
          <c:orientation val="minMax"/>
          <c:max val="1"/>
        </c:scaling>
        <c:delete val="0"/>
        <c:axPos val="l"/>
        <c:majorGridlines/>
        <c:numFmt formatCode="0%" sourceLinked="1"/>
        <c:majorTickMark val="out"/>
        <c:minorTickMark val="none"/>
        <c:tickLblPos val="nextTo"/>
        <c:crossAx val="546625792"/>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employment1'!$B$22</c:f>
              <c:numCache>
                <c:formatCode>0.0</c:formatCode>
                <c:ptCount val="1"/>
                <c:pt idx="0">
                  <c:v>-7.0114102311996049</c:v>
                </c:pt>
              </c:numCache>
            </c:numRef>
          </c:xVal>
          <c:yVal>
            <c:numRef>
              <c:f>'Rel. prod. cf employment1'!$C$22</c:f>
              <c:numCache>
                <c:formatCode>0.0</c:formatCode>
                <c:ptCount val="1"/>
                <c:pt idx="0">
                  <c:v>0.51780145182550386</c:v>
                </c:pt>
              </c:numCache>
            </c:numRef>
          </c:yVal>
          <c:bubbleSize>
            <c:numRef>
              <c:f>'Rel. prod. cf employment1'!$E$22</c:f>
              <c:numCache>
                <c:formatCode>#,##0</c:formatCode>
                <c:ptCount val="1"/>
                <c:pt idx="0">
                  <c:v>28063.61792088583</c:v>
                </c:pt>
              </c:numCache>
            </c:numRef>
          </c:bubbleSize>
          <c:bubble3D val="1"/>
        </c:ser>
        <c:ser>
          <c:idx val="2"/>
          <c:order val="1"/>
          <c:tx>
            <c:v>Manufacturing</c:v>
          </c:tx>
          <c:spPr>
            <a:solidFill>
              <a:srgbClr val="00B050"/>
            </a:solidFill>
            <a:ln w="25400">
              <a:noFill/>
            </a:ln>
          </c:spPr>
          <c:invertIfNegative val="0"/>
          <c:xVal>
            <c:numRef>
              <c:f>'Rel. prod. cf employment1'!$B$24</c:f>
              <c:numCache>
                <c:formatCode>0.0</c:formatCode>
                <c:ptCount val="1"/>
                <c:pt idx="0">
                  <c:v>-0.33685050540371275</c:v>
                </c:pt>
              </c:numCache>
            </c:numRef>
          </c:xVal>
          <c:yVal>
            <c:numRef>
              <c:f>'Rel. prod. cf employment1'!$C$24</c:f>
              <c:numCache>
                <c:formatCode>0.0</c:formatCode>
                <c:ptCount val="1"/>
                <c:pt idx="0">
                  <c:v>0.66766651173934999</c:v>
                </c:pt>
              </c:numCache>
            </c:numRef>
          </c:yVal>
          <c:bubbleSize>
            <c:numRef>
              <c:f>'Rel. prod. cf employment1'!$E$24</c:f>
              <c:numCache>
                <c:formatCode>#,##0</c:formatCode>
                <c:ptCount val="1"/>
                <c:pt idx="0">
                  <c:v>1853.8549036767247</c:v>
                </c:pt>
              </c:numCache>
            </c:numRef>
          </c:bubbleSize>
          <c:bubble3D val="1"/>
        </c:ser>
        <c:ser>
          <c:idx val="4"/>
          <c:order val="2"/>
          <c:tx>
            <c:v>Construction</c:v>
          </c:tx>
          <c:spPr>
            <a:solidFill>
              <a:srgbClr val="6600FF"/>
            </a:solidFill>
            <a:ln w="25400">
              <a:noFill/>
            </a:ln>
          </c:spPr>
          <c:invertIfNegative val="0"/>
          <c:xVal>
            <c:numRef>
              <c:f>'Rel. prod. cf employment1'!$B$26</c:f>
              <c:numCache>
                <c:formatCode>0.0</c:formatCode>
                <c:ptCount val="1"/>
                <c:pt idx="0">
                  <c:v>0.13522773073176653</c:v>
                </c:pt>
              </c:numCache>
            </c:numRef>
          </c:xVal>
          <c:yVal>
            <c:numRef>
              <c:f>'Rel. prod. cf employment1'!$C$26</c:f>
              <c:numCache>
                <c:formatCode>0.0</c:formatCode>
                <c:ptCount val="1"/>
                <c:pt idx="0">
                  <c:v>1.4716784188298231</c:v>
                </c:pt>
              </c:numCache>
            </c:numRef>
          </c:yVal>
          <c:bubbleSize>
            <c:numRef>
              <c:f>'Rel. prod. cf employment1'!$E$26</c:f>
              <c:numCache>
                <c:formatCode>#,##0</c:formatCode>
                <c:ptCount val="1"/>
                <c:pt idx="0">
                  <c:v>429.69151267868682</c:v>
                </c:pt>
              </c:numCache>
            </c:numRef>
          </c:bubbleSize>
          <c:bubble3D val="1"/>
        </c:ser>
        <c:ser>
          <c:idx val="3"/>
          <c:order val="3"/>
          <c:tx>
            <c:v>Utilities</c:v>
          </c:tx>
          <c:spPr>
            <a:solidFill>
              <a:srgbClr val="FF0000"/>
            </a:solidFill>
            <a:ln w="25400">
              <a:noFill/>
            </a:ln>
          </c:spPr>
          <c:invertIfNegative val="0"/>
          <c:xVal>
            <c:numRef>
              <c:f>'Rel. prod. cf employment1'!$B$25</c:f>
              <c:numCache>
                <c:formatCode>0.0</c:formatCode>
                <c:ptCount val="1"/>
                <c:pt idx="0">
                  <c:v>8.704432522787342E-2</c:v>
                </c:pt>
              </c:numCache>
            </c:numRef>
          </c:xVal>
          <c:yVal>
            <c:numRef>
              <c:f>'Rel. prod. cf employment1'!$C$25</c:f>
              <c:numCache>
                <c:formatCode>0.0</c:formatCode>
                <c:ptCount val="1"/>
                <c:pt idx="0">
                  <c:v>0.60920960683430592</c:v>
                </c:pt>
              </c:numCache>
            </c:numRef>
          </c:yVal>
          <c:bubbleSize>
            <c:numRef>
              <c:f>'Rel. prod. cf employment1'!$E$25</c:f>
              <c:numCache>
                <c:formatCode>#,##0</c:formatCode>
                <c:ptCount val="1"/>
                <c:pt idx="0">
                  <c:v>102.25814682356157</c:v>
                </c:pt>
              </c:numCache>
            </c:numRef>
          </c:bubbleSize>
          <c:bubble3D val="1"/>
        </c:ser>
        <c:ser>
          <c:idx val="5"/>
          <c:order val="4"/>
          <c:tx>
            <c:v>Trade services</c:v>
          </c:tx>
          <c:spPr>
            <a:solidFill>
              <a:srgbClr val="66FFFF"/>
            </a:solidFill>
            <a:ln w="25400">
              <a:noFill/>
            </a:ln>
          </c:spPr>
          <c:invertIfNegative val="0"/>
          <c:xVal>
            <c:numRef>
              <c:f>'Rel. prod. cf employment1'!$B$27</c:f>
              <c:numCache>
                <c:formatCode>0.0</c:formatCode>
                <c:ptCount val="1"/>
                <c:pt idx="0">
                  <c:v>3.6627950364721098</c:v>
                </c:pt>
              </c:numCache>
            </c:numRef>
          </c:xVal>
          <c:yVal>
            <c:numRef>
              <c:f>'Rel. prod. cf employment1'!$C$27</c:f>
              <c:numCache>
                <c:formatCode>0.0</c:formatCode>
                <c:ptCount val="1"/>
                <c:pt idx="0">
                  <c:v>1.0369599200475046</c:v>
                </c:pt>
              </c:numCache>
            </c:numRef>
          </c:yVal>
          <c:bubbleSize>
            <c:numRef>
              <c:f>'Rel. prod. cf employment1'!$E$27</c:f>
              <c:numCache>
                <c:formatCode>#,##0</c:formatCode>
                <c:ptCount val="1"/>
                <c:pt idx="0">
                  <c:v>5483.9402110576739</c:v>
                </c:pt>
              </c:numCache>
            </c:numRef>
          </c:bubbleSize>
          <c:bubble3D val="1"/>
        </c:ser>
        <c:ser>
          <c:idx val="6"/>
          <c:order val="5"/>
          <c:tx>
            <c:v>Transport services</c:v>
          </c:tx>
          <c:spPr>
            <a:solidFill>
              <a:srgbClr val="FF00FF"/>
            </a:solidFill>
            <a:ln w="25400">
              <a:noFill/>
            </a:ln>
          </c:spPr>
          <c:invertIfNegative val="0"/>
          <c:xVal>
            <c:numRef>
              <c:f>'Rel. prod. cf employment1'!$B$28</c:f>
              <c:numCache>
                <c:formatCode>0.0</c:formatCode>
                <c:ptCount val="1"/>
                <c:pt idx="0">
                  <c:v>1.1289967302020916</c:v>
                </c:pt>
              </c:numCache>
            </c:numRef>
          </c:xVal>
          <c:yVal>
            <c:numRef>
              <c:f>'Rel. prod. cf employment1'!$C$28</c:f>
              <c:numCache>
                <c:formatCode>0.0</c:formatCode>
                <c:ptCount val="1"/>
                <c:pt idx="0">
                  <c:v>0.69703039507489695</c:v>
                </c:pt>
              </c:numCache>
            </c:numRef>
          </c:yVal>
          <c:bubbleSize>
            <c:numRef>
              <c:f>'Rel. prod. cf employment1'!$E$28</c:f>
              <c:numCache>
                <c:formatCode>#,##0</c:formatCode>
                <c:ptCount val="1"/>
                <c:pt idx="0">
                  <c:v>777.80711408411082</c:v>
                </c:pt>
              </c:numCache>
            </c:numRef>
          </c:bubbleSize>
          <c:bubble3D val="1"/>
        </c:ser>
        <c:ser>
          <c:idx val="7"/>
          <c:order val="6"/>
          <c:tx>
            <c:v>Business services</c:v>
          </c:tx>
          <c:spPr>
            <a:solidFill>
              <a:srgbClr val="99FF66"/>
            </a:solidFill>
            <a:ln w="25400">
              <a:noFill/>
            </a:ln>
          </c:spPr>
          <c:invertIfNegative val="0"/>
          <c:xVal>
            <c:numRef>
              <c:f>'Rel. prod. cf employment1'!$B$29</c:f>
              <c:numCache>
                <c:formatCode>0.0</c:formatCode>
                <c:ptCount val="1"/>
                <c:pt idx="0">
                  <c:v>0.49346900851073827</c:v>
                </c:pt>
              </c:numCache>
            </c:numRef>
          </c:xVal>
          <c:yVal>
            <c:numRef>
              <c:f>'Rel. prod. cf employment1'!$C$29</c:f>
              <c:numCache>
                <c:formatCode>0.0</c:formatCode>
                <c:ptCount val="1"/>
                <c:pt idx="0">
                  <c:v>0.6672703853543035</c:v>
                </c:pt>
              </c:numCache>
            </c:numRef>
          </c:yVal>
          <c:bubbleSize>
            <c:numRef>
              <c:f>'Rel. prod. cf employment1'!$E$29</c:f>
              <c:numCache>
                <c:formatCode>#,##0</c:formatCode>
                <c:ptCount val="1"/>
                <c:pt idx="0">
                  <c:v>723.65203893166313</c:v>
                </c:pt>
              </c:numCache>
            </c:numRef>
          </c:bubbleSize>
          <c:bubble3D val="1"/>
        </c:ser>
        <c:ser>
          <c:idx val="8"/>
          <c:order val="7"/>
          <c:tx>
            <c:v>Govt services</c:v>
          </c:tx>
          <c:spPr>
            <a:solidFill>
              <a:srgbClr val="984807"/>
            </a:solidFill>
            <a:ln w="25400">
              <a:noFill/>
            </a:ln>
          </c:spPr>
          <c:invertIfNegative val="0"/>
          <c:xVal>
            <c:numRef>
              <c:f>'Rel. prod. cf employment1'!$B$30</c:f>
              <c:numCache>
                <c:formatCode>0.0</c:formatCode>
                <c:ptCount val="1"/>
                <c:pt idx="0">
                  <c:v>0.74345797692987547</c:v>
                </c:pt>
              </c:numCache>
            </c:numRef>
          </c:xVal>
          <c:yVal>
            <c:numRef>
              <c:f>'Rel. prod. cf employment1'!$C$30</c:f>
              <c:numCache>
                <c:formatCode>0.0</c:formatCode>
                <c:ptCount val="1"/>
                <c:pt idx="0">
                  <c:v>0.27824505933004889</c:v>
                </c:pt>
              </c:numCache>
            </c:numRef>
          </c:yVal>
          <c:bubbleSize>
            <c:numRef>
              <c:f>'Rel. prod. cf employment1'!$E$30</c:f>
              <c:numCache>
                <c:formatCode>#,##0</c:formatCode>
                <c:ptCount val="1"/>
                <c:pt idx="0">
                  <c:v>1621.7364133882359</c:v>
                </c:pt>
              </c:numCache>
            </c:numRef>
          </c:bubbleSize>
          <c:bubble3D val="1"/>
        </c:ser>
        <c:ser>
          <c:idx val="9"/>
          <c:order val="8"/>
          <c:tx>
            <c:v>Personal services</c:v>
          </c:tx>
          <c:spPr>
            <a:solidFill>
              <a:srgbClr val="9999FF"/>
            </a:solidFill>
            <a:ln w="25400">
              <a:noFill/>
            </a:ln>
          </c:spPr>
          <c:invertIfNegative val="0"/>
          <c:xVal>
            <c:numRef>
              <c:f>'Rel. prod. cf employment1'!$B$31</c:f>
              <c:numCache>
                <c:formatCode>0.0</c:formatCode>
                <c:ptCount val="1"/>
                <c:pt idx="0">
                  <c:v>1.0875730298562791</c:v>
                </c:pt>
              </c:numCache>
            </c:numRef>
          </c:xVal>
          <c:yVal>
            <c:numRef>
              <c:f>'Rel. prod. cf employment1'!$C$31</c:f>
              <c:numCache>
                <c:formatCode>0.0</c:formatCode>
                <c:ptCount val="1"/>
                <c:pt idx="0">
                  <c:v>0.1804807464204746</c:v>
                </c:pt>
              </c:numCache>
            </c:numRef>
          </c:yVal>
          <c:bubbleSize>
            <c:numRef>
              <c:f>'Rel. prod. cf employment1'!$E$31</c:f>
              <c:numCache>
                <c:formatCode>#,##0</c:formatCode>
                <c:ptCount val="1"/>
                <c:pt idx="0">
                  <c:v>2133.0246461161751</c:v>
                </c:pt>
              </c:numCache>
            </c:numRef>
          </c:bubbleSize>
          <c:bubble3D val="1"/>
        </c:ser>
        <c:dLbls>
          <c:showLegendKey val="0"/>
          <c:showVal val="0"/>
          <c:showCatName val="0"/>
          <c:showSerName val="0"/>
          <c:showPercent val="0"/>
          <c:showBubbleSize val="0"/>
        </c:dLbls>
        <c:bubbleScale val="100"/>
        <c:showNegBubbles val="0"/>
        <c:axId val="371145728"/>
        <c:axId val="372510720"/>
      </c:bubbleChart>
      <c:valAx>
        <c:axId val="371145728"/>
        <c:scaling>
          <c:orientation val="minMax"/>
          <c:max val="4"/>
          <c:min val="-8"/>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372510720"/>
        <c:crosses val="autoZero"/>
        <c:crossBetween val="midCat"/>
      </c:valAx>
      <c:valAx>
        <c:axId val="372510720"/>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37114572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emp1'!$C$8:$H$8</c:f>
              <c:numCache>
                <c:formatCode>0%</c:formatCode>
                <c:ptCount val="6"/>
                <c:pt idx="0">
                  <c:v>1</c:v>
                </c:pt>
                <c:pt idx="1">
                  <c:v>1</c:v>
                </c:pt>
                <c:pt idx="2">
                  <c:v>0.94631599148075085</c:v>
                </c:pt>
                <c:pt idx="3">
                  <c:v>0.91213747412694002</c:v>
                </c:pt>
                <c:pt idx="4">
                  <c:v>0.89551395573219639</c:v>
                </c:pt>
                <c:pt idx="5">
                  <c:v>0.8824335388574196</c:v>
                </c:pt>
              </c:numCache>
            </c:numRef>
          </c:val>
        </c:ser>
        <c:ser>
          <c:idx val="1"/>
          <c:order val="1"/>
          <c:tx>
            <c:v>Female</c:v>
          </c:tx>
          <c:spPr>
            <a:solidFill>
              <a:srgbClr val="F7941E"/>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emp1'!$J$8:$O$8</c:f>
              <c:numCache>
                <c:formatCode>0%</c:formatCode>
                <c:ptCount val="6"/>
                <c:pt idx="0">
                  <c:v>0</c:v>
                </c:pt>
                <c:pt idx="1">
                  <c:v>0</c:v>
                </c:pt>
                <c:pt idx="2">
                  <c:v>5.3684008519249198E-2</c:v>
                </c:pt>
                <c:pt idx="3">
                  <c:v>8.7862525873059941E-2</c:v>
                </c:pt>
                <c:pt idx="4">
                  <c:v>0.10448604426780359</c:v>
                </c:pt>
                <c:pt idx="5">
                  <c:v>0.11756646114258035</c:v>
                </c:pt>
              </c:numCache>
            </c:numRef>
          </c:val>
        </c:ser>
        <c:dLbls>
          <c:showLegendKey val="0"/>
          <c:showVal val="0"/>
          <c:showCatName val="0"/>
          <c:showSerName val="0"/>
          <c:showPercent val="0"/>
          <c:showBubbleSize val="0"/>
        </c:dLbls>
        <c:gapWidth val="150"/>
        <c:axId val="548727040"/>
        <c:axId val="548818944"/>
      </c:barChart>
      <c:catAx>
        <c:axId val="548727040"/>
        <c:scaling>
          <c:orientation val="minMax"/>
        </c:scaling>
        <c:delete val="0"/>
        <c:axPos val="b"/>
        <c:numFmt formatCode="General" sourceLinked="1"/>
        <c:majorTickMark val="out"/>
        <c:minorTickMark val="none"/>
        <c:tickLblPos val="nextTo"/>
        <c:crossAx val="548818944"/>
        <c:crosses val="autoZero"/>
        <c:auto val="1"/>
        <c:lblAlgn val="ctr"/>
        <c:lblOffset val="100"/>
        <c:noMultiLvlLbl val="0"/>
      </c:catAx>
      <c:valAx>
        <c:axId val="548818944"/>
        <c:scaling>
          <c:orientation val="minMax"/>
          <c:max val="1"/>
        </c:scaling>
        <c:delete val="0"/>
        <c:axPos val="l"/>
        <c:majorGridlines/>
        <c:numFmt formatCode="0%" sourceLinked="1"/>
        <c:majorTickMark val="out"/>
        <c:minorTickMark val="none"/>
        <c:tickLblPos val="nextTo"/>
        <c:crossAx val="548727040"/>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services</a:t>
            </a:r>
            <a:endParaRPr lang="en-US" sz="800" b="1"/>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emp1'!$C$13:$H$13</c:f>
              <c:numCache>
                <c:formatCode>0%</c:formatCode>
                <c:ptCount val="6"/>
                <c:pt idx="0">
                  <c:v>1</c:v>
                </c:pt>
                <c:pt idx="1">
                  <c:v>0.97086719279935985</c:v>
                </c:pt>
                <c:pt idx="2">
                  <c:v>0.7857878539259332</c:v>
                </c:pt>
                <c:pt idx="3">
                  <c:v>0.68244706245684927</c:v>
                </c:pt>
                <c:pt idx="4">
                  <c:v>0.63599074719700477</c:v>
                </c:pt>
                <c:pt idx="5">
                  <c:v>0.60111319350250847</c:v>
                </c:pt>
              </c:numCache>
            </c:numRef>
          </c:val>
        </c:ser>
        <c:ser>
          <c:idx val="1"/>
          <c:order val="1"/>
          <c:tx>
            <c:v>Female</c:v>
          </c:tx>
          <c:spPr>
            <a:solidFill>
              <a:srgbClr val="F7941E"/>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emp1'!$J$13:$O$13</c:f>
              <c:numCache>
                <c:formatCode>0%</c:formatCode>
                <c:ptCount val="6"/>
                <c:pt idx="0">
                  <c:v>0</c:v>
                </c:pt>
                <c:pt idx="1">
                  <c:v>2.9132807200640189E-2</c:v>
                </c:pt>
                <c:pt idx="2">
                  <c:v>0.21421214607406677</c:v>
                </c:pt>
                <c:pt idx="3">
                  <c:v>0.31755293754315073</c:v>
                </c:pt>
                <c:pt idx="4">
                  <c:v>0.36400925280299529</c:v>
                </c:pt>
                <c:pt idx="5">
                  <c:v>0.39888680649749148</c:v>
                </c:pt>
              </c:numCache>
            </c:numRef>
          </c:val>
        </c:ser>
        <c:dLbls>
          <c:showLegendKey val="0"/>
          <c:showVal val="0"/>
          <c:showCatName val="0"/>
          <c:showSerName val="0"/>
          <c:showPercent val="0"/>
          <c:showBubbleSize val="0"/>
        </c:dLbls>
        <c:gapWidth val="150"/>
        <c:axId val="549749120"/>
        <c:axId val="549750656"/>
      </c:barChart>
      <c:catAx>
        <c:axId val="549749120"/>
        <c:scaling>
          <c:orientation val="minMax"/>
        </c:scaling>
        <c:delete val="0"/>
        <c:axPos val="b"/>
        <c:numFmt formatCode="General" sourceLinked="1"/>
        <c:majorTickMark val="out"/>
        <c:minorTickMark val="none"/>
        <c:tickLblPos val="nextTo"/>
        <c:txPr>
          <a:bodyPr/>
          <a:lstStyle/>
          <a:p>
            <a:pPr>
              <a:defRPr sz="700"/>
            </a:pPr>
            <a:endParaRPr lang="en-US"/>
          </a:p>
        </c:txPr>
        <c:crossAx val="549750656"/>
        <c:crosses val="autoZero"/>
        <c:auto val="1"/>
        <c:lblAlgn val="ctr"/>
        <c:lblOffset val="100"/>
        <c:noMultiLvlLbl val="0"/>
      </c:catAx>
      <c:valAx>
        <c:axId val="549750656"/>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549749120"/>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Personal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emp1'!$C$14:$H$14</c:f>
              <c:numCache>
                <c:formatCode>0%</c:formatCode>
                <c:ptCount val="6"/>
                <c:pt idx="0">
                  <c:v>1</c:v>
                </c:pt>
                <c:pt idx="1">
                  <c:v>0.74756773845550695</c:v>
                </c:pt>
                <c:pt idx="2">
                  <c:v>0.6304561788466102</c:v>
                </c:pt>
                <c:pt idx="3">
                  <c:v>0.56276162505790472</c:v>
                </c:pt>
                <c:pt idx="4">
                  <c:v>0.53169093982982985</c:v>
                </c:pt>
                <c:pt idx="5">
                  <c:v>0.50807413649878608</c:v>
                </c:pt>
              </c:numCache>
            </c:numRef>
          </c:val>
        </c:ser>
        <c:ser>
          <c:idx val="1"/>
          <c:order val="1"/>
          <c:tx>
            <c:v>Female</c:v>
          </c:tx>
          <c:spPr>
            <a:solidFill>
              <a:srgbClr val="F7941E"/>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emp1'!$J$14:$O$14</c:f>
              <c:numCache>
                <c:formatCode>0%</c:formatCode>
                <c:ptCount val="6"/>
                <c:pt idx="0">
                  <c:v>0</c:v>
                </c:pt>
                <c:pt idx="1">
                  <c:v>0.252432261544493</c:v>
                </c:pt>
                <c:pt idx="2">
                  <c:v>0.3695438211533898</c:v>
                </c:pt>
                <c:pt idx="3">
                  <c:v>0.43723837494209528</c:v>
                </c:pt>
                <c:pt idx="4">
                  <c:v>0.46830906017017015</c:v>
                </c:pt>
                <c:pt idx="5">
                  <c:v>0.49192586350121392</c:v>
                </c:pt>
              </c:numCache>
            </c:numRef>
          </c:val>
        </c:ser>
        <c:dLbls>
          <c:showLegendKey val="0"/>
          <c:showVal val="0"/>
          <c:showCatName val="0"/>
          <c:showSerName val="0"/>
          <c:showPercent val="0"/>
          <c:showBubbleSize val="0"/>
        </c:dLbls>
        <c:gapWidth val="150"/>
        <c:axId val="551272832"/>
        <c:axId val="551274368"/>
      </c:barChart>
      <c:catAx>
        <c:axId val="551272832"/>
        <c:scaling>
          <c:orientation val="minMax"/>
        </c:scaling>
        <c:delete val="0"/>
        <c:axPos val="b"/>
        <c:numFmt formatCode="General" sourceLinked="1"/>
        <c:majorTickMark val="out"/>
        <c:minorTickMark val="none"/>
        <c:tickLblPos val="nextTo"/>
        <c:txPr>
          <a:bodyPr/>
          <a:lstStyle/>
          <a:p>
            <a:pPr>
              <a:defRPr sz="700"/>
            </a:pPr>
            <a:endParaRPr lang="en-US"/>
          </a:p>
        </c:txPr>
        <c:crossAx val="551274368"/>
        <c:crosses val="autoZero"/>
        <c:auto val="1"/>
        <c:lblAlgn val="ctr"/>
        <c:lblOffset val="100"/>
        <c:noMultiLvlLbl val="0"/>
      </c:catAx>
      <c:valAx>
        <c:axId val="551274368"/>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551272832"/>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emp1'!$C$9:$H$9</c:f>
              <c:numCache>
                <c:formatCode>0%</c:formatCode>
                <c:ptCount val="6"/>
                <c:pt idx="0">
                  <c:v>1</c:v>
                </c:pt>
                <c:pt idx="1">
                  <c:v>0.99675698460734286</c:v>
                </c:pt>
                <c:pt idx="2">
                  <c:v>0.95834824693731524</c:v>
                </c:pt>
                <c:pt idx="3">
                  <c:v>0.93356822769454573</c:v>
                </c:pt>
                <c:pt idx="4">
                  <c:v>0.92141954015965832</c:v>
                </c:pt>
                <c:pt idx="5">
                  <c:v>0.91181451623490561</c:v>
                </c:pt>
              </c:numCache>
            </c:numRef>
          </c:val>
        </c:ser>
        <c:ser>
          <c:idx val="1"/>
          <c:order val="1"/>
          <c:tx>
            <c:v>Female</c:v>
          </c:tx>
          <c:spPr>
            <a:solidFill>
              <a:srgbClr val="F7941E"/>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emp1'!$J$9:$O$9</c:f>
              <c:numCache>
                <c:formatCode>0%</c:formatCode>
                <c:ptCount val="6"/>
                <c:pt idx="0">
                  <c:v>0</c:v>
                </c:pt>
                <c:pt idx="1">
                  <c:v>3.2430153926571153E-3</c:v>
                </c:pt>
                <c:pt idx="2">
                  <c:v>4.1651753062684767E-2</c:v>
                </c:pt>
                <c:pt idx="3">
                  <c:v>6.6431772305454315E-2</c:v>
                </c:pt>
                <c:pt idx="4">
                  <c:v>7.8580459840341621E-2</c:v>
                </c:pt>
                <c:pt idx="5">
                  <c:v>8.8185483765094344E-2</c:v>
                </c:pt>
              </c:numCache>
            </c:numRef>
          </c:val>
        </c:ser>
        <c:dLbls>
          <c:showLegendKey val="0"/>
          <c:showVal val="0"/>
          <c:showCatName val="0"/>
          <c:showSerName val="0"/>
          <c:showPercent val="0"/>
          <c:showBubbleSize val="0"/>
        </c:dLbls>
        <c:gapWidth val="150"/>
        <c:axId val="553252352"/>
        <c:axId val="553554688"/>
      </c:barChart>
      <c:catAx>
        <c:axId val="553252352"/>
        <c:scaling>
          <c:orientation val="minMax"/>
        </c:scaling>
        <c:delete val="0"/>
        <c:axPos val="b"/>
        <c:numFmt formatCode="General" sourceLinked="1"/>
        <c:majorTickMark val="out"/>
        <c:minorTickMark val="none"/>
        <c:tickLblPos val="nextTo"/>
        <c:crossAx val="553554688"/>
        <c:crosses val="autoZero"/>
        <c:auto val="1"/>
        <c:lblAlgn val="ctr"/>
        <c:lblOffset val="100"/>
        <c:noMultiLvlLbl val="0"/>
      </c:catAx>
      <c:valAx>
        <c:axId val="553554688"/>
        <c:scaling>
          <c:orientation val="minMax"/>
          <c:max val="1"/>
        </c:scaling>
        <c:delete val="0"/>
        <c:axPos val="l"/>
        <c:majorGridlines/>
        <c:numFmt formatCode="0%" sourceLinked="1"/>
        <c:majorTickMark val="out"/>
        <c:minorTickMark val="none"/>
        <c:tickLblPos val="nextTo"/>
        <c:crossAx val="553252352"/>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emp1'!$C$10:$H$10</c:f>
              <c:numCache>
                <c:formatCode>0%</c:formatCode>
                <c:ptCount val="6"/>
                <c:pt idx="0">
                  <c:v>0.25479026411185918</c:v>
                </c:pt>
                <c:pt idx="1">
                  <c:v>0.20651624628228243</c:v>
                </c:pt>
                <c:pt idx="2">
                  <c:v>0.23513078004999802</c:v>
                </c:pt>
                <c:pt idx="3">
                  <c:v>0.25637735304028797</c:v>
                </c:pt>
                <c:pt idx="4">
                  <c:v>0.26771009410732116</c:v>
                </c:pt>
                <c:pt idx="5">
                  <c:v>0.27713591848981661</c:v>
                </c:pt>
              </c:numCache>
            </c:numRef>
          </c:val>
        </c:ser>
        <c:ser>
          <c:idx val="1"/>
          <c:order val="1"/>
          <c:tx>
            <c:v>Female</c:v>
          </c:tx>
          <c:spPr>
            <a:solidFill>
              <a:srgbClr val="F7941E"/>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emp1'!$J$10:$O$10</c:f>
              <c:numCache>
                <c:formatCode>0%</c:formatCode>
                <c:ptCount val="6"/>
                <c:pt idx="0">
                  <c:v>0.74520973588814088</c:v>
                </c:pt>
                <c:pt idx="1">
                  <c:v>0.79348375371771762</c:v>
                </c:pt>
                <c:pt idx="2">
                  <c:v>0.76486921995000201</c:v>
                </c:pt>
                <c:pt idx="3">
                  <c:v>0.74362264695971192</c:v>
                </c:pt>
                <c:pt idx="4">
                  <c:v>0.73228990589267884</c:v>
                </c:pt>
                <c:pt idx="5">
                  <c:v>0.72286408151018333</c:v>
                </c:pt>
              </c:numCache>
            </c:numRef>
          </c:val>
        </c:ser>
        <c:dLbls>
          <c:showLegendKey val="0"/>
          <c:showVal val="0"/>
          <c:showCatName val="0"/>
          <c:showSerName val="0"/>
          <c:showPercent val="0"/>
          <c:showBubbleSize val="0"/>
        </c:dLbls>
        <c:gapWidth val="150"/>
        <c:axId val="555918080"/>
        <c:axId val="555920384"/>
      </c:barChart>
      <c:catAx>
        <c:axId val="555918080"/>
        <c:scaling>
          <c:orientation val="minMax"/>
        </c:scaling>
        <c:delete val="0"/>
        <c:axPos val="b"/>
        <c:numFmt formatCode="General" sourceLinked="1"/>
        <c:majorTickMark val="out"/>
        <c:minorTickMark val="none"/>
        <c:tickLblPos val="nextTo"/>
        <c:crossAx val="555920384"/>
        <c:crosses val="autoZero"/>
        <c:auto val="1"/>
        <c:lblAlgn val="ctr"/>
        <c:lblOffset val="100"/>
        <c:noMultiLvlLbl val="0"/>
      </c:catAx>
      <c:valAx>
        <c:axId val="555920384"/>
        <c:scaling>
          <c:orientation val="minMax"/>
          <c:max val="1"/>
        </c:scaling>
        <c:delete val="0"/>
        <c:axPos val="l"/>
        <c:majorGridlines/>
        <c:numFmt formatCode="0%" sourceLinked="1"/>
        <c:majorTickMark val="out"/>
        <c:minorTickMark val="none"/>
        <c:tickLblPos val="nextTo"/>
        <c:crossAx val="555918080"/>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emp1'!$C$11:$H$11</c:f>
              <c:numCache>
                <c:formatCode>0%</c:formatCode>
                <c:ptCount val="6"/>
                <c:pt idx="0">
                  <c:v>1</c:v>
                </c:pt>
                <c:pt idx="1">
                  <c:v>1</c:v>
                </c:pt>
                <c:pt idx="2">
                  <c:v>0.97046668557885807</c:v>
                </c:pt>
                <c:pt idx="3">
                  <c:v>0.95126398007191604</c:v>
                </c:pt>
                <c:pt idx="4">
                  <c:v>0.94180558781841395</c:v>
                </c:pt>
                <c:pt idx="5">
                  <c:v>0.93430663110328938</c:v>
                </c:pt>
              </c:numCache>
            </c:numRef>
          </c:val>
        </c:ser>
        <c:ser>
          <c:idx val="1"/>
          <c:order val="1"/>
          <c:tx>
            <c:v>Female</c:v>
          </c:tx>
          <c:spPr>
            <a:solidFill>
              <a:srgbClr val="F7941E"/>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emp1'!$J$11:$O$11</c:f>
              <c:numCache>
                <c:formatCode>0%</c:formatCode>
                <c:ptCount val="6"/>
                <c:pt idx="0">
                  <c:v>0</c:v>
                </c:pt>
                <c:pt idx="1">
                  <c:v>0</c:v>
                </c:pt>
                <c:pt idx="2">
                  <c:v>2.9533314421141911E-2</c:v>
                </c:pt>
                <c:pt idx="3">
                  <c:v>4.8736019928083983E-2</c:v>
                </c:pt>
                <c:pt idx="4">
                  <c:v>5.8194412181586018E-2</c:v>
                </c:pt>
                <c:pt idx="5">
                  <c:v>6.5693368896710611E-2</c:v>
                </c:pt>
              </c:numCache>
            </c:numRef>
          </c:val>
        </c:ser>
        <c:dLbls>
          <c:showLegendKey val="0"/>
          <c:showVal val="0"/>
          <c:showCatName val="0"/>
          <c:showSerName val="0"/>
          <c:showPercent val="0"/>
          <c:showBubbleSize val="0"/>
        </c:dLbls>
        <c:gapWidth val="150"/>
        <c:axId val="557193088"/>
        <c:axId val="557350912"/>
      </c:barChart>
      <c:catAx>
        <c:axId val="557193088"/>
        <c:scaling>
          <c:orientation val="minMax"/>
        </c:scaling>
        <c:delete val="0"/>
        <c:axPos val="b"/>
        <c:numFmt formatCode="General" sourceLinked="1"/>
        <c:majorTickMark val="out"/>
        <c:minorTickMark val="none"/>
        <c:tickLblPos val="nextTo"/>
        <c:crossAx val="557350912"/>
        <c:crosses val="autoZero"/>
        <c:auto val="1"/>
        <c:lblAlgn val="ctr"/>
        <c:lblOffset val="100"/>
        <c:noMultiLvlLbl val="0"/>
      </c:catAx>
      <c:valAx>
        <c:axId val="557350912"/>
        <c:scaling>
          <c:orientation val="minMax"/>
          <c:max val="1"/>
        </c:scaling>
        <c:delete val="0"/>
        <c:axPos val="l"/>
        <c:majorGridlines/>
        <c:numFmt formatCode="0%" sourceLinked="1"/>
        <c:majorTickMark val="out"/>
        <c:minorTickMark val="none"/>
        <c:tickLblPos val="nextTo"/>
        <c:crossAx val="557193088"/>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emp1'!$C$12:$H$12</c:f>
              <c:numCache>
                <c:formatCode>0%</c:formatCode>
                <c:ptCount val="6"/>
                <c:pt idx="0">
                  <c:v>1</c:v>
                </c:pt>
                <c:pt idx="1">
                  <c:v>0.54368562796764153</c:v>
                </c:pt>
                <c:pt idx="2">
                  <c:v>0.61269161466818411</c:v>
                </c:pt>
                <c:pt idx="3">
                  <c:v>0.66349551639910742</c:v>
                </c:pt>
                <c:pt idx="4">
                  <c:v>0.6904560197553149</c:v>
                </c:pt>
                <c:pt idx="5">
                  <c:v>0.71281108150738548</c:v>
                </c:pt>
              </c:numCache>
            </c:numRef>
          </c:val>
        </c:ser>
        <c:ser>
          <c:idx val="1"/>
          <c:order val="1"/>
          <c:tx>
            <c:v>Female</c:v>
          </c:tx>
          <c:spPr>
            <a:solidFill>
              <a:srgbClr val="F7941E"/>
            </a:solidFill>
          </c:spPr>
          <c:invertIfNegative val="0"/>
          <c:cat>
            <c:numRef>
              <c:f>'Sector emp1'!$C$4:$H$4</c:f>
              <c:numCache>
                <c:formatCode>General</c:formatCode>
                <c:ptCount val="6"/>
                <c:pt idx="0">
                  <c:v>1960</c:v>
                </c:pt>
                <c:pt idx="1">
                  <c:v>1975</c:v>
                </c:pt>
                <c:pt idx="2">
                  <c:v>1990</c:v>
                </c:pt>
                <c:pt idx="3">
                  <c:v>2000</c:v>
                </c:pt>
                <c:pt idx="4">
                  <c:v>2005</c:v>
                </c:pt>
                <c:pt idx="5">
                  <c:v>2010</c:v>
                </c:pt>
              </c:numCache>
            </c:numRef>
          </c:cat>
          <c:val>
            <c:numRef>
              <c:f>'Sector emp1'!$J$12:$O$12</c:f>
              <c:numCache>
                <c:formatCode>0%</c:formatCode>
                <c:ptCount val="6"/>
                <c:pt idx="0">
                  <c:v>0</c:v>
                </c:pt>
                <c:pt idx="1">
                  <c:v>0.45631437203235847</c:v>
                </c:pt>
                <c:pt idx="2">
                  <c:v>0.38730838533181583</c:v>
                </c:pt>
                <c:pt idx="3">
                  <c:v>0.33650448360089263</c:v>
                </c:pt>
                <c:pt idx="4">
                  <c:v>0.3095439802446851</c:v>
                </c:pt>
                <c:pt idx="5">
                  <c:v>0.28718891849261452</c:v>
                </c:pt>
              </c:numCache>
            </c:numRef>
          </c:val>
        </c:ser>
        <c:dLbls>
          <c:showLegendKey val="0"/>
          <c:showVal val="0"/>
          <c:showCatName val="0"/>
          <c:showSerName val="0"/>
          <c:showPercent val="0"/>
          <c:showBubbleSize val="0"/>
        </c:dLbls>
        <c:gapWidth val="150"/>
        <c:axId val="347313664"/>
        <c:axId val="347315200"/>
      </c:barChart>
      <c:catAx>
        <c:axId val="347313664"/>
        <c:scaling>
          <c:orientation val="minMax"/>
        </c:scaling>
        <c:delete val="0"/>
        <c:axPos val="b"/>
        <c:numFmt formatCode="General" sourceLinked="1"/>
        <c:majorTickMark val="out"/>
        <c:minorTickMark val="none"/>
        <c:tickLblPos val="nextTo"/>
        <c:crossAx val="347315200"/>
        <c:crosses val="autoZero"/>
        <c:auto val="1"/>
        <c:lblAlgn val="ctr"/>
        <c:lblOffset val="100"/>
        <c:noMultiLvlLbl val="0"/>
      </c:catAx>
      <c:valAx>
        <c:axId val="347315200"/>
        <c:scaling>
          <c:orientation val="minMax"/>
          <c:max val="1"/>
        </c:scaling>
        <c:delete val="0"/>
        <c:axPos val="l"/>
        <c:majorGridlines/>
        <c:numFmt formatCode="0%" sourceLinked="1"/>
        <c:majorTickMark val="out"/>
        <c:minorTickMark val="none"/>
        <c:tickLblPos val="nextTo"/>
        <c:crossAx val="347313664"/>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employment4'!$B$7</c:f>
              <c:numCache>
                <c:formatCode>#,##0.0_ ;\-#,##0.0\ </c:formatCode>
                <c:ptCount val="1"/>
                <c:pt idx="0">
                  <c:v>-1.361337936887999</c:v>
                </c:pt>
              </c:numCache>
            </c:numRef>
          </c:xVal>
          <c:yVal>
            <c:numRef>
              <c:f>'Rel. prod. cf employment4'!$C$7</c:f>
              <c:numCache>
                <c:formatCode>#,##0.0_ ;\-#,##0.0\ </c:formatCode>
                <c:ptCount val="1"/>
                <c:pt idx="0">
                  <c:v>0.44285266533851247</c:v>
                </c:pt>
              </c:numCache>
            </c:numRef>
          </c:yVal>
          <c:bubbleSize>
            <c:numRef>
              <c:f>'Rel. prod. cf employment4'!$E$7</c:f>
              <c:numCache>
                <c:formatCode>#,##0_ ;\-#,##0\ </c:formatCode>
                <c:ptCount val="1"/>
                <c:pt idx="0">
                  <c:v>17512</c:v>
                </c:pt>
              </c:numCache>
            </c:numRef>
          </c:bubbleSize>
          <c:bubble3D val="1"/>
        </c:ser>
        <c:ser>
          <c:idx val="1"/>
          <c:order val="1"/>
          <c:tx>
            <c:v>Mining &amp; utilities</c:v>
          </c:tx>
          <c:spPr>
            <a:solidFill>
              <a:srgbClr val="000000"/>
            </a:solidFill>
            <a:ln w="25400">
              <a:noFill/>
            </a:ln>
          </c:spPr>
          <c:invertIfNegative val="0"/>
          <c:xVal>
            <c:numRef>
              <c:f>'Rel. prod. cf employment4'!$B$8</c:f>
              <c:numCache>
                <c:formatCode>#,##0.0_ ;\-#,##0.0\ </c:formatCode>
                <c:ptCount val="1"/>
                <c:pt idx="0">
                  <c:v>2.7014790004200373E-2</c:v>
                </c:pt>
              </c:numCache>
            </c:numRef>
          </c:xVal>
          <c:yVal>
            <c:numRef>
              <c:f>'Rel. prod. cf employment4'!$C$8</c:f>
              <c:numCache>
                <c:formatCode>#,##0.0_ ;\-#,##0.0\ </c:formatCode>
                <c:ptCount val="1"/>
                <c:pt idx="0">
                  <c:v>41.290739265510176</c:v>
                </c:pt>
              </c:numCache>
            </c:numRef>
          </c:yVal>
          <c:bubbleSize>
            <c:numRef>
              <c:f>'Rel. prod. cf employment4'!$E$8</c:f>
              <c:numCache>
                <c:formatCode>#,##0_ ;\-#,##0\ </c:formatCode>
                <c:ptCount val="1"/>
                <c:pt idx="0">
                  <c:v>168</c:v>
                </c:pt>
              </c:numCache>
            </c:numRef>
          </c:bubbleSize>
          <c:bubble3D val="1"/>
        </c:ser>
        <c:ser>
          <c:idx val="2"/>
          <c:order val="2"/>
          <c:tx>
            <c:v>Manufacturing</c:v>
          </c:tx>
          <c:spPr>
            <a:solidFill>
              <a:srgbClr val="CC6600"/>
            </a:solidFill>
            <a:ln w="25400">
              <a:noFill/>
            </a:ln>
          </c:spPr>
          <c:invertIfNegative val="0"/>
          <c:xVal>
            <c:numRef>
              <c:f>'Rel. prod. cf employment4'!$B$9</c:f>
              <c:numCache>
                <c:formatCode>#,##0.0_ ;\-#,##0.0\ </c:formatCode>
                <c:ptCount val="1"/>
                <c:pt idx="0">
                  <c:v>-0.79983152632151011</c:v>
                </c:pt>
              </c:numCache>
            </c:numRef>
          </c:xVal>
          <c:yVal>
            <c:numRef>
              <c:f>'Rel. prod. cf employment4'!$C$9</c:f>
              <c:numCache>
                <c:formatCode>#,##0.0_ ;\-#,##0.0\ </c:formatCode>
                <c:ptCount val="1"/>
                <c:pt idx="0">
                  <c:v>0.58615656941067062</c:v>
                </c:pt>
              </c:numCache>
            </c:numRef>
          </c:yVal>
          <c:bubbleSize>
            <c:numRef>
              <c:f>'Rel. prod. cf employment4'!$E$9</c:f>
              <c:numCache>
                <c:formatCode>#,##0_ ;\-#,##0\ </c:formatCode>
                <c:ptCount val="1"/>
                <c:pt idx="0">
                  <c:v>4115</c:v>
                </c:pt>
              </c:numCache>
            </c:numRef>
          </c:bubbleSize>
          <c:bubble3D val="1"/>
        </c:ser>
        <c:ser>
          <c:idx val="3"/>
          <c:order val="3"/>
          <c:tx>
            <c:v>Construction</c:v>
          </c:tx>
          <c:spPr>
            <a:solidFill>
              <a:srgbClr val="FFFF00"/>
            </a:solidFill>
            <a:ln w="25400">
              <a:noFill/>
            </a:ln>
          </c:spPr>
          <c:invertIfNegative val="0"/>
          <c:xVal>
            <c:numRef>
              <c:f>'Rel. prod. cf employment4'!$B$10</c:f>
              <c:numCache>
                <c:formatCode>#,##0.0_ ;\-#,##0.0\ </c:formatCode>
                <c:ptCount val="1"/>
                <c:pt idx="0">
                  <c:v>6.1896861595615249E-2</c:v>
                </c:pt>
              </c:numCache>
            </c:numRef>
          </c:xVal>
          <c:yVal>
            <c:numRef>
              <c:f>'Rel. prod. cf employment4'!$C$10</c:f>
              <c:numCache>
                <c:formatCode>#,##0.0_ ;\-#,##0.0\ </c:formatCode>
                <c:ptCount val="1"/>
                <c:pt idx="0">
                  <c:v>2.7848559597510647</c:v>
                </c:pt>
              </c:numCache>
            </c:numRef>
          </c:yVal>
          <c:bubbleSize>
            <c:numRef>
              <c:f>'Rel. prod. cf employment4'!$E$10</c:f>
              <c:numCache>
                <c:formatCode>#,##0_ ;\-#,##0\ </c:formatCode>
                <c:ptCount val="1"/>
                <c:pt idx="0">
                  <c:v>423</c:v>
                </c:pt>
              </c:numCache>
            </c:numRef>
          </c:bubbleSize>
          <c:bubble3D val="1"/>
        </c:ser>
        <c:ser>
          <c:idx val="4"/>
          <c:order val="4"/>
          <c:tx>
            <c:v>Wholesale, retail, hotels</c:v>
          </c:tx>
          <c:spPr>
            <a:solidFill>
              <a:srgbClr val="6666FF"/>
            </a:solidFill>
            <a:ln w="25400">
              <a:noFill/>
            </a:ln>
          </c:spPr>
          <c:invertIfNegative val="0"/>
          <c:xVal>
            <c:numRef>
              <c:f>'Rel. prod. cf employment4'!$B$11</c:f>
              <c:numCache>
                <c:formatCode>#,##0.0_ ;\-#,##0.0\ </c:formatCode>
                <c:ptCount val="1"/>
                <c:pt idx="0">
                  <c:v>0.96827753570720176</c:v>
                </c:pt>
              </c:numCache>
            </c:numRef>
          </c:xVal>
          <c:yVal>
            <c:numRef>
              <c:f>'Rel. prod. cf employment4'!$C$11</c:f>
              <c:numCache>
                <c:formatCode>#,##0.0_ ;\-#,##0.0\ </c:formatCode>
                <c:ptCount val="1"/>
                <c:pt idx="0">
                  <c:v>0.73320736755179738</c:v>
                </c:pt>
              </c:numCache>
            </c:numRef>
          </c:yVal>
          <c:bubbleSize>
            <c:numRef>
              <c:f>'Rel. prod. cf employment4'!$E$11</c:f>
              <c:numCache>
                <c:formatCode>#,##0_ ;\-#,##0\ </c:formatCode>
                <c:ptCount val="1"/>
                <c:pt idx="0">
                  <c:v>7637</c:v>
                </c:pt>
              </c:numCache>
            </c:numRef>
          </c:bubbleSize>
          <c:bubble3D val="1"/>
        </c:ser>
        <c:ser>
          <c:idx val="5"/>
          <c:order val="5"/>
          <c:tx>
            <c:v>Transport, storage, comms</c:v>
          </c:tx>
          <c:spPr>
            <a:solidFill>
              <a:srgbClr val="66FFFF"/>
            </a:solidFill>
            <a:ln w="25400">
              <a:noFill/>
            </a:ln>
          </c:spPr>
          <c:invertIfNegative val="0"/>
          <c:xVal>
            <c:numRef>
              <c:f>'Rel. prod. cf employment4'!$B$12</c:f>
              <c:numCache>
                <c:formatCode>#,##0.0_ ;\-#,##0.0\ </c:formatCode>
                <c:ptCount val="1"/>
                <c:pt idx="0">
                  <c:v>0.21068572491298942</c:v>
                </c:pt>
              </c:numCache>
            </c:numRef>
          </c:xVal>
          <c:yVal>
            <c:numRef>
              <c:f>'Rel. prod. cf employment4'!$C$12</c:f>
              <c:numCache>
                <c:formatCode>#,##0.0_ ;\-#,##0.0\ </c:formatCode>
                <c:ptCount val="1"/>
                <c:pt idx="0">
                  <c:v>2.9326763805561384</c:v>
                </c:pt>
              </c:numCache>
            </c:numRef>
          </c:yVal>
          <c:bubbleSize>
            <c:numRef>
              <c:f>'Rel. prod. cf employment4'!$E$12</c:f>
              <c:numCache>
                <c:formatCode>#,##0_ ;\-#,##0\ </c:formatCode>
                <c:ptCount val="1"/>
                <c:pt idx="0">
                  <c:v>837</c:v>
                </c:pt>
              </c:numCache>
            </c:numRef>
          </c:bubbleSize>
          <c:bubble3D val="1"/>
        </c:ser>
        <c:ser>
          <c:idx val="6"/>
          <c:order val="6"/>
          <c:tx>
            <c:v>Other</c:v>
          </c:tx>
          <c:spPr>
            <a:solidFill>
              <a:srgbClr val="FF00FF"/>
            </a:solidFill>
            <a:ln w="25400">
              <a:noFill/>
            </a:ln>
          </c:spPr>
          <c:invertIfNegative val="0"/>
          <c:xVal>
            <c:numRef>
              <c:f>'Rel. prod. cf employment4'!$B$13</c:f>
              <c:numCache>
                <c:formatCode>#,##0.0_ ;\-#,##0.0\ </c:formatCode>
                <c:ptCount val="1"/>
                <c:pt idx="0">
                  <c:v>0.89329455098950206</c:v>
                </c:pt>
              </c:numCache>
            </c:numRef>
          </c:xVal>
          <c:yVal>
            <c:numRef>
              <c:f>'Rel. prod. cf employment4'!$C$13</c:f>
              <c:numCache>
                <c:formatCode>#,##0.0_ ;\-#,##0.0\ </c:formatCode>
                <c:ptCount val="1"/>
                <c:pt idx="0">
                  <c:v>1.8347521612434046</c:v>
                </c:pt>
              </c:numCache>
            </c:numRef>
          </c:yVal>
          <c:bubbleSize>
            <c:numRef>
              <c:f>'Rel. prod. cf employment4'!$E$13</c:f>
              <c:numCache>
                <c:formatCode>#,##0_ ;\-#,##0\ </c:formatCode>
                <c:ptCount val="1"/>
                <c:pt idx="0">
                  <c:v>5218</c:v>
                </c:pt>
              </c:numCache>
            </c:numRef>
          </c:bubbleSize>
          <c:bubble3D val="1"/>
        </c:ser>
        <c:dLbls>
          <c:showLegendKey val="0"/>
          <c:showVal val="0"/>
          <c:showCatName val="0"/>
          <c:showSerName val="0"/>
          <c:showPercent val="0"/>
          <c:showBubbleSize val="0"/>
        </c:dLbls>
        <c:bubbleScale val="100"/>
        <c:showNegBubbles val="0"/>
        <c:axId val="594220160"/>
        <c:axId val="594222080"/>
      </c:bubbleChart>
      <c:valAx>
        <c:axId val="594220160"/>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594222080"/>
        <c:crosses val="autoZero"/>
        <c:crossBetween val="midCat"/>
      </c:valAx>
      <c:valAx>
        <c:axId val="594222080"/>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59422016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employment4'!$B$24</c:f>
              <c:numCache>
                <c:formatCode>#,##0.0_ ;\-#,##0.0\ </c:formatCode>
                <c:ptCount val="1"/>
                <c:pt idx="0">
                  <c:v>-1.4930415275786473</c:v>
                </c:pt>
              </c:numCache>
            </c:numRef>
          </c:xVal>
          <c:yVal>
            <c:numRef>
              <c:f>'Rel. prod. cf employment4'!$C$24</c:f>
              <c:numCache>
                <c:formatCode>#,##0.0_ ;\-#,##0.0\ </c:formatCode>
                <c:ptCount val="1"/>
                <c:pt idx="0">
                  <c:v>0.54123140248343737</c:v>
                </c:pt>
              </c:numCache>
            </c:numRef>
          </c:yVal>
          <c:bubbleSize>
            <c:numRef>
              <c:f>'Rel. prod. cf employment4'!$E$24</c:f>
              <c:numCache>
                <c:formatCode>#,##0_ ;\-#,##0\ </c:formatCode>
                <c:ptCount val="1"/>
                <c:pt idx="0">
                  <c:v>18889</c:v>
                </c:pt>
              </c:numCache>
            </c:numRef>
          </c:bubbleSize>
          <c:bubble3D val="1"/>
        </c:ser>
        <c:ser>
          <c:idx val="1"/>
          <c:order val="1"/>
          <c:tx>
            <c:v>Mining &amp; utilities</c:v>
          </c:tx>
          <c:spPr>
            <a:solidFill>
              <a:srgbClr val="000000"/>
            </a:solidFill>
            <a:ln w="25400">
              <a:noFill/>
            </a:ln>
          </c:spPr>
          <c:invertIfNegative val="0"/>
          <c:xVal>
            <c:numRef>
              <c:f>'Rel. prod. cf employment4'!$B$25</c:f>
              <c:numCache>
                <c:formatCode>#,##0.0_ ;\-#,##0.0\ </c:formatCode>
                <c:ptCount val="1"/>
                <c:pt idx="0">
                  <c:v>0.1603390311251261</c:v>
                </c:pt>
              </c:numCache>
            </c:numRef>
          </c:xVal>
          <c:yVal>
            <c:numRef>
              <c:f>'Rel. prod. cf employment4'!$C$25</c:f>
              <c:numCache>
                <c:formatCode>#,##0.0_ ;\-#,##0.0\ </c:formatCode>
                <c:ptCount val="1"/>
                <c:pt idx="0">
                  <c:v>23.704778776913951</c:v>
                </c:pt>
              </c:numCache>
            </c:numRef>
          </c:yVal>
          <c:bubbleSize>
            <c:numRef>
              <c:f>'Rel. prod. cf employment4'!$E$25</c:f>
              <c:numCache>
                <c:formatCode>#,##0_ ;\-#,##0\ </c:formatCode>
                <c:ptCount val="1"/>
                <c:pt idx="0">
                  <c:v>251</c:v>
                </c:pt>
              </c:numCache>
            </c:numRef>
          </c:bubbleSize>
          <c:bubble3D val="1"/>
        </c:ser>
        <c:ser>
          <c:idx val="2"/>
          <c:order val="2"/>
          <c:tx>
            <c:v>Manufacturing</c:v>
          </c:tx>
          <c:spPr>
            <a:solidFill>
              <a:srgbClr val="CC6600"/>
            </a:solidFill>
            <a:ln w="25400">
              <a:noFill/>
            </a:ln>
          </c:spPr>
          <c:invertIfNegative val="0"/>
          <c:xVal>
            <c:numRef>
              <c:f>'Rel. prod. cf employment4'!$B$26</c:f>
              <c:numCache>
                <c:formatCode>#,##0.0_ ;\-#,##0.0\ </c:formatCode>
                <c:ptCount val="1"/>
                <c:pt idx="0">
                  <c:v>-3.2403683165752373</c:v>
                </c:pt>
              </c:numCache>
            </c:numRef>
          </c:xVal>
          <c:yVal>
            <c:numRef>
              <c:f>'Rel. prod. cf employment4'!$C$26</c:f>
              <c:numCache>
                <c:formatCode>#,##0.0_ ;\-#,##0.0\ </c:formatCode>
                <c:ptCount val="1"/>
                <c:pt idx="0">
                  <c:v>0.75302268107893044</c:v>
                </c:pt>
              </c:numCache>
            </c:numRef>
          </c:yVal>
          <c:bubbleSize>
            <c:numRef>
              <c:f>'Rel. prod. cf employment4'!$E$26</c:f>
              <c:numCache>
                <c:formatCode>#,##0_ ;\-#,##0\ </c:formatCode>
                <c:ptCount val="1"/>
                <c:pt idx="0">
                  <c:v>3284</c:v>
                </c:pt>
              </c:numCache>
            </c:numRef>
          </c:bubbleSize>
          <c:bubble3D val="1"/>
        </c:ser>
        <c:ser>
          <c:idx val="3"/>
          <c:order val="3"/>
          <c:tx>
            <c:v>Construction</c:v>
          </c:tx>
          <c:spPr>
            <a:solidFill>
              <a:srgbClr val="FFFF00"/>
            </a:solidFill>
            <a:ln w="25400">
              <a:noFill/>
            </a:ln>
          </c:spPr>
          <c:invertIfNegative val="0"/>
          <c:xVal>
            <c:numRef>
              <c:f>'Rel. prod. cf employment4'!$B$27</c:f>
              <c:numCache>
                <c:formatCode>#,##0.0_ ;\-#,##0.0\ </c:formatCode>
                <c:ptCount val="1"/>
                <c:pt idx="0">
                  <c:v>0.2360752094215568</c:v>
                </c:pt>
              </c:numCache>
            </c:numRef>
          </c:xVal>
          <c:yVal>
            <c:numRef>
              <c:f>'Rel. prod. cf employment4'!$C$27</c:f>
              <c:numCache>
                <c:formatCode>#,##0.0_ ;\-#,##0.0\ </c:formatCode>
                <c:ptCount val="1"/>
                <c:pt idx="0">
                  <c:v>1.8599701114800866</c:v>
                </c:pt>
              </c:numCache>
            </c:numRef>
          </c:yVal>
          <c:bubbleSize>
            <c:numRef>
              <c:f>'Rel. prod. cf employment4'!$E$27</c:f>
              <c:numCache>
                <c:formatCode>#,##0_ ;\-#,##0\ </c:formatCode>
                <c:ptCount val="1"/>
                <c:pt idx="0">
                  <c:v>565</c:v>
                </c:pt>
              </c:numCache>
            </c:numRef>
          </c:bubbleSize>
          <c:bubble3D val="1"/>
        </c:ser>
        <c:ser>
          <c:idx val="4"/>
          <c:order val="4"/>
          <c:tx>
            <c:v>Wholesale, retail, hotels</c:v>
          </c:tx>
          <c:spPr>
            <a:solidFill>
              <a:srgbClr val="6666FF"/>
            </a:solidFill>
            <a:ln w="25400">
              <a:noFill/>
            </a:ln>
          </c:spPr>
          <c:invertIfNegative val="0"/>
          <c:xVal>
            <c:numRef>
              <c:f>'Rel. prod. cf employment4'!$B$28</c:f>
              <c:numCache>
                <c:formatCode>#,##0.0_ ;\-#,##0.0\ </c:formatCode>
                <c:ptCount val="1"/>
                <c:pt idx="0">
                  <c:v>1.2721731416828632</c:v>
                </c:pt>
              </c:numCache>
            </c:numRef>
          </c:xVal>
          <c:yVal>
            <c:numRef>
              <c:f>'Rel. prod. cf employment4'!$C$28</c:f>
              <c:numCache>
                <c:formatCode>#,##0.0_ ;\-#,##0.0\ </c:formatCode>
                <c:ptCount val="1"/>
                <c:pt idx="0">
                  <c:v>0.75667889713435943</c:v>
                </c:pt>
              </c:numCache>
            </c:numRef>
          </c:yVal>
          <c:bubbleSize>
            <c:numRef>
              <c:f>'Rel. prod. cf employment4'!$E$28</c:f>
              <c:numCache>
                <c:formatCode>#,##0_ ;\-#,##0\ </c:formatCode>
                <c:ptCount val="1"/>
                <c:pt idx="0">
                  <c:v>9006</c:v>
                </c:pt>
              </c:numCache>
            </c:numRef>
          </c:bubbleSize>
          <c:bubble3D val="1"/>
        </c:ser>
        <c:ser>
          <c:idx val="5"/>
          <c:order val="5"/>
          <c:tx>
            <c:v>Transport, storage, comms</c:v>
          </c:tx>
          <c:spPr>
            <a:solidFill>
              <a:srgbClr val="66FFFF"/>
            </a:solidFill>
            <a:ln w="25400">
              <a:noFill/>
            </a:ln>
          </c:spPr>
          <c:invertIfNegative val="0"/>
          <c:xVal>
            <c:numRef>
              <c:f>'Rel. prod. cf employment4'!$B$29</c:f>
              <c:numCache>
                <c:formatCode>#,##0.0_ ;\-#,##0.0\ </c:formatCode>
                <c:ptCount val="1"/>
                <c:pt idx="0">
                  <c:v>0.64487180862284088</c:v>
                </c:pt>
              </c:numCache>
            </c:numRef>
          </c:xVal>
          <c:yVal>
            <c:numRef>
              <c:f>'Rel. prod. cf employment4'!$C$29</c:f>
              <c:numCache>
                <c:formatCode>#,##0.0_ ;\-#,##0.0\ </c:formatCode>
                <c:ptCount val="1"/>
                <c:pt idx="0">
                  <c:v>3.9914250916150888</c:v>
                </c:pt>
              </c:numCache>
            </c:numRef>
          </c:yVal>
          <c:bubbleSize>
            <c:numRef>
              <c:f>'Rel. prod. cf employment4'!$E$29</c:f>
              <c:numCache>
                <c:formatCode>#,##0_ ;\-#,##0\ </c:formatCode>
                <c:ptCount val="1"/>
                <c:pt idx="0">
                  <c:v>1189</c:v>
                </c:pt>
              </c:numCache>
            </c:numRef>
          </c:bubbleSize>
          <c:bubble3D val="1"/>
        </c:ser>
        <c:ser>
          <c:idx val="6"/>
          <c:order val="6"/>
          <c:tx>
            <c:v>Other</c:v>
          </c:tx>
          <c:spPr>
            <a:solidFill>
              <a:srgbClr val="FF00FF"/>
            </a:solidFill>
            <a:ln w="25400">
              <a:noFill/>
            </a:ln>
          </c:spPr>
          <c:invertIfNegative val="0"/>
          <c:xVal>
            <c:numRef>
              <c:f>'Rel. prod. cf employment4'!$B$30</c:f>
              <c:numCache>
                <c:formatCode>#,##0.0_ ;\-#,##0.0\ </c:formatCode>
                <c:ptCount val="1"/>
                <c:pt idx="0">
                  <c:v>2.4199506533015054</c:v>
                </c:pt>
              </c:numCache>
            </c:numRef>
          </c:xVal>
          <c:yVal>
            <c:numRef>
              <c:f>'Rel. prod. cf employment4'!$C$30</c:f>
              <c:numCache>
                <c:formatCode>#,##0.0_ ;\-#,##0.0\ </c:formatCode>
                <c:ptCount val="1"/>
                <c:pt idx="0">
                  <c:v>1.2844406299000612</c:v>
                </c:pt>
              </c:numCache>
            </c:numRef>
          </c:yVal>
          <c:bubbleSize>
            <c:numRef>
              <c:f>'Rel. prod. cf employment4'!$E$30</c:f>
              <c:numCache>
                <c:formatCode>#,##0_ ;\-#,##0\ </c:formatCode>
                <c:ptCount val="1"/>
                <c:pt idx="0">
                  <c:v>6773</c:v>
                </c:pt>
              </c:numCache>
            </c:numRef>
          </c:bubbleSize>
          <c:bubble3D val="1"/>
        </c:ser>
        <c:dLbls>
          <c:showLegendKey val="0"/>
          <c:showVal val="0"/>
          <c:showCatName val="0"/>
          <c:showSerName val="0"/>
          <c:showPercent val="0"/>
          <c:showBubbleSize val="0"/>
        </c:dLbls>
        <c:bubbleScale val="100"/>
        <c:showNegBubbles val="0"/>
        <c:axId val="594285312"/>
        <c:axId val="594287232"/>
      </c:bubbleChart>
      <c:valAx>
        <c:axId val="594285312"/>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594287232"/>
        <c:crosses val="autoZero"/>
        <c:crossBetween val="midCat"/>
      </c:valAx>
      <c:valAx>
        <c:axId val="594287232"/>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59428531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employment4'!$B$41</c:f>
              <c:numCache>
                <c:formatCode>#,##0.0_ ;\-#,##0.0\ </c:formatCode>
                <c:ptCount val="1"/>
                <c:pt idx="0">
                  <c:v>-3.6687941277138378</c:v>
                </c:pt>
              </c:numCache>
            </c:numRef>
          </c:xVal>
          <c:yVal>
            <c:numRef>
              <c:f>'Rel. prod. cf employment4'!$C$41</c:f>
              <c:numCache>
                <c:formatCode>#,##0.0_ ;\-#,##0.0\ </c:formatCode>
                <c:ptCount val="1"/>
                <c:pt idx="0">
                  <c:v>0.52721460734618142</c:v>
                </c:pt>
              </c:numCache>
            </c:numRef>
          </c:yVal>
          <c:bubbleSize>
            <c:numRef>
              <c:f>'Rel. prod. cf employment4'!$E$41</c:f>
              <c:numCache>
                <c:formatCode>#,##0_ ;\-#,##0\ </c:formatCode>
                <c:ptCount val="1"/>
                <c:pt idx="0">
                  <c:v>20045</c:v>
                </c:pt>
              </c:numCache>
            </c:numRef>
          </c:bubbleSize>
          <c:bubble3D val="1"/>
        </c:ser>
        <c:ser>
          <c:idx val="1"/>
          <c:order val="1"/>
          <c:tx>
            <c:v>Mining &amp; utilities</c:v>
          </c:tx>
          <c:spPr>
            <a:solidFill>
              <a:srgbClr val="000000"/>
            </a:solidFill>
            <a:ln w="25400">
              <a:noFill/>
            </a:ln>
          </c:spPr>
          <c:invertIfNegative val="0"/>
          <c:xVal>
            <c:numRef>
              <c:f>'Rel. prod. cf employment4'!$B$42</c:f>
              <c:numCache>
                <c:formatCode>#,##0.0_ ;\-#,##0.0\ </c:formatCode>
                <c:ptCount val="1"/>
                <c:pt idx="0">
                  <c:v>0.72923171613312887</c:v>
                </c:pt>
              </c:numCache>
            </c:numRef>
          </c:xVal>
          <c:yVal>
            <c:numRef>
              <c:f>'Rel. prod. cf employment4'!$C$42</c:f>
              <c:numCache>
                <c:formatCode>#,##0.0_ ;\-#,##0.0\ </c:formatCode>
                <c:ptCount val="1"/>
                <c:pt idx="0">
                  <c:v>6.0455688743721847</c:v>
                </c:pt>
              </c:numCache>
            </c:numRef>
          </c:yVal>
          <c:bubbleSize>
            <c:numRef>
              <c:f>'Rel. prod. cf employment4'!$E$42</c:f>
              <c:numCache>
                <c:formatCode>#,##0_ ;\-#,##0\ </c:formatCode>
                <c:ptCount val="1"/>
                <c:pt idx="0">
                  <c:v>624</c:v>
                </c:pt>
              </c:numCache>
            </c:numRef>
          </c:bubbleSize>
          <c:bubble3D val="1"/>
        </c:ser>
        <c:ser>
          <c:idx val="2"/>
          <c:order val="2"/>
          <c:tx>
            <c:v>Manufacturing</c:v>
          </c:tx>
          <c:spPr>
            <a:solidFill>
              <a:srgbClr val="CC6600"/>
            </a:solidFill>
            <a:ln w="25400">
              <a:noFill/>
            </a:ln>
          </c:spPr>
          <c:invertIfNegative val="0"/>
          <c:xVal>
            <c:numRef>
              <c:f>'Rel. prod. cf employment4'!$B$43</c:f>
              <c:numCache>
                <c:formatCode>#,##0.0_ ;\-#,##0.0\ </c:formatCode>
                <c:ptCount val="1"/>
                <c:pt idx="0">
                  <c:v>-1.6471580671214161</c:v>
                </c:pt>
              </c:numCache>
            </c:numRef>
          </c:xVal>
          <c:yVal>
            <c:numRef>
              <c:f>'Rel. prod. cf employment4'!$C$43</c:f>
              <c:numCache>
                <c:formatCode>#,##0.0_ ;\-#,##0.0\ </c:formatCode>
                <c:ptCount val="1"/>
                <c:pt idx="0">
                  <c:v>0.93473843459130979</c:v>
                </c:pt>
              </c:numCache>
            </c:numRef>
          </c:yVal>
          <c:bubbleSize>
            <c:numRef>
              <c:f>'Rel. prod. cf employment4'!$E$43</c:f>
              <c:numCache>
                <c:formatCode>#,##0_ ;\-#,##0\ </c:formatCode>
                <c:ptCount val="1"/>
                <c:pt idx="0">
                  <c:v>3021</c:v>
                </c:pt>
              </c:numCache>
            </c:numRef>
          </c:bubbleSize>
          <c:bubble3D val="1"/>
        </c:ser>
        <c:ser>
          <c:idx val="3"/>
          <c:order val="3"/>
          <c:tx>
            <c:v>Construction</c:v>
          </c:tx>
          <c:spPr>
            <a:solidFill>
              <a:srgbClr val="FFFF00"/>
            </a:solidFill>
            <a:ln w="25400">
              <a:noFill/>
            </a:ln>
          </c:spPr>
          <c:invertIfNegative val="0"/>
          <c:xVal>
            <c:numRef>
              <c:f>'Rel. prod. cf employment4'!$B$44</c:f>
              <c:numCache>
                <c:formatCode>#,##0.0_ ;\-#,##0.0\ </c:formatCode>
                <c:ptCount val="1"/>
                <c:pt idx="0">
                  <c:v>0.23053072241913908</c:v>
                </c:pt>
              </c:numCache>
            </c:numRef>
          </c:xVal>
          <c:yVal>
            <c:numRef>
              <c:f>'Rel. prod. cf employment4'!$C$44</c:f>
              <c:numCache>
                <c:formatCode>#,##0.0_ ;\-#,##0.0\ </c:formatCode>
                <c:ptCount val="1"/>
                <c:pt idx="0">
                  <c:v>1.8959524826176706</c:v>
                </c:pt>
              </c:numCache>
            </c:numRef>
          </c:yVal>
          <c:bubbleSize>
            <c:numRef>
              <c:f>'Rel. prod. cf employment4'!$E$44</c:f>
              <c:numCache>
                <c:formatCode>#,##0_ ;\-#,##0\ </c:formatCode>
                <c:ptCount val="1"/>
                <c:pt idx="0">
                  <c:v>756</c:v>
                </c:pt>
              </c:numCache>
            </c:numRef>
          </c:bubbleSize>
          <c:bubble3D val="1"/>
        </c:ser>
        <c:ser>
          <c:idx val="4"/>
          <c:order val="4"/>
          <c:tx>
            <c:v>Wholesale, retail, hotels</c:v>
          </c:tx>
          <c:spPr>
            <a:solidFill>
              <a:srgbClr val="6666FF"/>
            </a:solidFill>
            <a:ln w="25400">
              <a:noFill/>
            </a:ln>
          </c:spPr>
          <c:invertIfNegative val="0"/>
          <c:xVal>
            <c:numRef>
              <c:f>'Rel. prod. cf employment4'!$B$45</c:f>
              <c:numCache>
                <c:formatCode>#,##0.0_ ;\-#,##0.0\ </c:formatCode>
                <c:ptCount val="1"/>
                <c:pt idx="0">
                  <c:v>0.92824911861826465</c:v>
                </c:pt>
              </c:numCache>
            </c:numRef>
          </c:xVal>
          <c:yVal>
            <c:numRef>
              <c:f>'Rel. prod. cf employment4'!$C$45</c:f>
              <c:numCache>
                <c:formatCode>#,##0.0_ ;\-#,##0.0\ </c:formatCode>
                <c:ptCount val="1"/>
                <c:pt idx="0">
                  <c:v>0.89328415881562462</c:v>
                </c:pt>
              </c:numCache>
            </c:numRef>
          </c:yVal>
          <c:bubbleSize>
            <c:numRef>
              <c:f>'Rel. prod. cf employment4'!$E$45</c:f>
              <c:numCache>
                <c:formatCode>#,##0_ ;\-#,##0\ </c:formatCode>
                <c:ptCount val="1"/>
                <c:pt idx="0">
                  <c:v>10788</c:v>
                </c:pt>
              </c:numCache>
            </c:numRef>
          </c:bubbleSize>
          <c:bubble3D val="1"/>
        </c:ser>
        <c:ser>
          <c:idx val="5"/>
          <c:order val="5"/>
          <c:tx>
            <c:v>Transport, storage, comms</c:v>
          </c:tx>
          <c:spPr>
            <a:solidFill>
              <a:srgbClr val="66FFFF"/>
            </a:solidFill>
            <a:ln w="25400">
              <a:noFill/>
            </a:ln>
          </c:spPr>
          <c:invertIfNegative val="0"/>
          <c:xVal>
            <c:numRef>
              <c:f>'Rel. prod. cf employment4'!$B$46</c:f>
              <c:numCache>
                <c:formatCode>#,##0.0_ ;\-#,##0.0\ </c:formatCode>
                <c:ptCount val="1"/>
                <c:pt idx="0">
                  <c:v>0.78327436712760745</c:v>
                </c:pt>
              </c:numCache>
            </c:numRef>
          </c:xVal>
          <c:yVal>
            <c:numRef>
              <c:f>'Rel. prod. cf employment4'!$C$46</c:f>
              <c:numCache>
                <c:formatCode>#,##0.0_ ;\-#,##0.0\ </c:formatCode>
                <c:ptCount val="1"/>
                <c:pt idx="0">
                  <c:v>5.004665920745702</c:v>
                </c:pt>
              </c:numCache>
            </c:numRef>
          </c:yVal>
          <c:bubbleSize>
            <c:numRef>
              <c:f>'Rel. prod. cf employment4'!$E$46</c:f>
              <c:numCache>
                <c:formatCode>#,##0_ ;\-#,##0\ </c:formatCode>
                <c:ptCount val="1"/>
                <c:pt idx="0">
                  <c:v>1728</c:v>
                </c:pt>
              </c:numCache>
            </c:numRef>
          </c:bubbleSize>
          <c:bubble3D val="1"/>
        </c:ser>
        <c:ser>
          <c:idx val="6"/>
          <c:order val="6"/>
          <c:tx>
            <c:v>Other</c:v>
          </c:tx>
          <c:spPr>
            <a:solidFill>
              <a:srgbClr val="FF00FF"/>
            </a:solidFill>
            <a:ln w="25400">
              <a:noFill/>
            </a:ln>
          </c:spPr>
          <c:invertIfNegative val="0"/>
          <c:xVal>
            <c:numRef>
              <c:f>'Rel. prod. cf employment4'!$B$47</c:f>
              <c:numCache>
                <c:formatCode>#,##0.0_ ;\-#,##0.0\ </c:formatCode>
                <c:ptCount val="1"/>
                <c:pt idx="0">
                  <c:v>2.6446662705371082</c:v>
                </c:pt>
              </c:numCache>
            </c:numRef>
          </c:xVal>
          <c:yVal>
            <c:numRef>
              <c:f>'Rel. prod. cf employment4'!$C$47</c:f>
              <c:numCache>
                <c:formatCode>#,##0.0_ ;\-#,##0.0\ </c:formatCode>
                <c:ptCount val="1"/>
                <c:pt idx="0">
                  <c:v>1.0088311627471922</c:v>
                </c:pt>
              </c:numCache>
            </c:numRef>
          </c:yVal>
          <c:bubbleSize>
            <c:numRef>
              <c:f>'Rel. prod. cf employment4'!$E$47</c:f>
              <c:numCache>
                <c:formatCode>#,##0_ ;\-#,##0\ </c:formatCode>
                <c:ptCount val="1"/>
                <c:pt idx="0">
                  <c:v>9008</c:v>
                </c:pt>
              </c:numCache>
            </c:numRef>
          </c:bubbleSize>
          <c:bubble3D val="1"/>
        </c:ser>
        <c:dLbls>
          <c:showLegendKey val="0"/>
          <c:showVal val="0"/>
          <c:showCatName val="0"/>
          <c:showSerName val="0"/>
          <c:showPercent val="0"/>
          <c:showBubbleSize val="0"/>
        </c:dLbls>
        <c:bubbleScale val="100"/>
        <c:showNegBubbles val="0"/>
        <c:axId val="594420096"/>
        <c:axId val="594422016"/>
      </c:bubbleChart>
      <c:valAx>
        <c:axId val="594420096"/>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594422016"/>
        <c:crosses val="autoZero"/>
        <c:crossBetween val="midCat"/>
      </c:valAx>
      <c:valAx>
        <c:axId val="59442201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59442009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employment1'!$B$39</c:f>
              <c:numCache>
                <c:formatCode>0.0</c:formatCode>
                <c:ptCount val="1"/>
                <c:pt idx="0">
                  <c:v>-9.0643361382208596</c:v>
                </c:pt>
              </c:numCache>
            </c:numRef>
          </c:xVal>
          <c:yVal>
            <c:numRef>
              <c:f>'Rel. prod. cf employment1'!$C$39</c:f>
              <c:numCache>
                <c:formatCode>0.0</c:formatCode>
                <c:ptCount val="1"/>
                <c:pt idx="0">
                  <c:v>0.63985701324964506</c:v>
                </c:pt>
              </c:numCache>
            </c:numRef>
          </c:yVal>
          <c:bubbleSize>
            <c:numRef>
              <c:f>'Rel. prod. cf employment1'!$E$39</c:f>
              <c:numCache>
                <c:formatCode>#,##0</c:formatCode>
                <c:ptCount val="1"/>
                <c:pt idx="0">
                  <c:v>29704.440267824353</c:v>
                </c:pt>
              </c:numCache>
            </c:numRef>
          </c:bubbleSize>
          <c:bubble3D val="1"/>
        </c:ser>
        <c:ser>
          <c:idx val="2"/>
          <c:order val="1"/>
          <c:tx>
            <c:v>Manufacturing</c:v>
          </c:tx>
          <c:spPr>
            <a:solidFill>
              <a:srgbClr val="00B050"/>
            </a:solidFill>
            <a:ln w="25400">
              <a:noFill/>
            </a:ln>
          </c:spPr>
          <c:invertIfNegative val="0"/>
          <c:xVal>
            <c:numRef>
              <c:f>'Rel. prod. cf employment1'!$B$41</c:f>
              <c:numCache>
                <c:formatCode>0.0</c:formatCode>
                <c:ptCount val="1"/>
                <c:pt idx="0">
                  <c:v>-0.48978461747046076</c:v>
                </c:pt>
              </c:numCache>
            </c:numRef>
          </c:xVal>
          <c:yVal>
            <c:numRef>
              <c:f>'Rel. prod. cf employment1'!$C$41</c:f>
              <c:numCache>
                <c:formatCode>0.0</c:formatCode>
                <c:ptCount val="1"/>
                <c:pt idx="0">
                  <c:v>0.88655148907452808</c:v>
                </c:pt>
              </c:numCache>
            </c:numRef>
          </c:yVal>
          <c:bubbleSize>
            <c:numRef>
              <c:f>'Rel. prod. cf employment1'!$E$41</c:f>
              <c:numCache>
                <c:formatCode>#,##0</c:formatCode>
                <c:ptCount val="1"/>
                <c:pt idx="0">
                  <c:v>2017.236571549025</c:v>
                </c:pt>
              </c:numCache>
            </c:numRef>
          </c:bubbleSize>
          <c:bubble3D val="1"/>
        </c:ser>
        <c:ser>
          <c:idx val="3"/>
          <c:order val="2"/>
          <c:tx>
            <c:v>Utilities</c:v>
          </c:tx>
          <c:spPr>
            <a:solidFill>
              <a:srgbClr val="FF0000"/>
            </a:solidFill>
            <a:ln w="25400">
              <a:noFill/>
            </a:ln>
          </c:spPr>
          <c:invertIfNegative val="0"/>
          <c:xVal>
            <c:numRef>
              <c:f>'Rel. prod. cf employment1'!$B$42</c:f>
              <c:numCache>
                <c:formatCode>0.0</c:formatCode>
                <c:ptCount val="1"/>
                <c:pt idx="0">
                  <c:v>-8.0454553679042418E-3</c:v>
                </c:pt>
              </c:numCache>
            </c:numRef>
          </c:xVal>
          <c:yVal>
            <c:numRef>
              <c:f>'Rel. prod. cf employment1'!$C$42</c:f>
              <c:numCache>
                <c:formatCode>0.0</c:formatCode>
                <c:ptCount val="1"/>
                <c:pt idx="0">
                  <c:v>0.59867995492610637</c:v>
                </c:pt>
              </c:numCache>
            </c:numRef>
          </c:yVal>
          <c:bubbleSize>
            <c:numRef>
              <c:f>'Rel. prod. cf employment1'!$E$42</c:f>
              <c:numCache>
                <c:formatCode>#,##0</c:formatCode>
                <c:ptCount val="1"/>
                <c:pt idx="0">
                  <c:v>120.8413929141423</c:v>
                </c:pt>
              </c:numCache>
            </c:numRef>
          </c:bubbleSize>
          <c:bubble3D val="1"/>
        </c:ser>
        <c:ser>
          <c:idx val="5"/>
          <c:order val="3"/>
          <c:tx>
            <c:v>Trade services</c:v>
          </c:tx>
          <c:spPr>
            <a:solidFill>
              <a:srgbClr val="66FFFF"/>
            </a:solidFill>
            <a:ln w="25400">
              <a:noFill/>
            </a:ln>
          </c:spPr>
          <c:invertIfNegative val="0"/>
          <c:xVal>
            <c:numRef>
              <c:f>'Rel. prod. cf employment1'!$B$44</c:f>
              <c:numCache>
                <c:formatCode>0.0</c:formatCode>
                <c:ptCount val="1"/>
                <c:pt idx="0">
                  <c:v>5.0381234721711934</c:v>
                </c:pt>
              </c:numCache>
            </c:numRef>
          </c:xVal>
          <c:yVal>
            <c:numRef>
              <c:f>'Rel. prod. cf employment1'!$C$44</c:f>
              <c:numCache>
                <c:formatCode>0.0</c:formatCode>
                <c:ptCount val="1"/>
                <c:pt idx="0">
                  <c:v>1.1009041291507764</c:v>
                </c:pt>
              </c:numCache>
            </c:numRef>
          </c:yVal>
          <c:bubbleSize>
            <c:numRef>
              <c:f>'Rel. prod. cf employment1'!$E$44</c:f>
              <c:numCache>
                <c:formatCode>#,##0</c:formatCode>
                <c:ptCount val="1"/>
                <c:pt idx="0">
                  <c:v>9240.0293873715964</c:v>
                </c:pt>
              </c:numCache>
            </c:numRef>
          </c:bubbleSize>
          <c:bubble3D val="1"/>
        </c:ser>
        <c:ser>
          <c:idx val="8"/>
          <c:order val="4"/>
          <c:tx>
            <c:v>Govt services</c:v>
          </c:tx>
          <c:spPr>
            <a:solidFill>
              <a:srgbClr val="984807"/>
            </a:solidFill>
            <a:ln w="25400">
              <a:noFill/>
            </a:ln>
          </c:spPr>
          <c:invertIfNegative val="0"/>
          <c:xVal>
            <c:numRef>
              <c:f>'Rel. prod. cf employment1'!$B$47</c:f>
              <c:numCache>
                <c:formatCode>0.0</c:formatCode>
                <c:ptCount val="1"/>
                <c:pt idx="0">
                  <c:v>0.51626411231343594</c:v>
                </c:pt>
              </c:numCache>
            </c:numRef>
          </c:xVal>
          <c:yVal>
            <c:numRef>
              <c:f>'Rel. prod. cf employment1'!$C$47</c:f>
              <c:numCache>
                <c:formatCode>0.0</c:formatCode>
                <c:ptCount val="1"/>
                <c:pt idx="0">
                  <c:v>0.25371143763538623</c:v>
                </c:pt>
              </c:numCache>
            </c:numRef>
          </c:yVal>
          <c:bubbleSize>
            <c:numRef>
              <c:f>'Rel. prod. cf employment1'!$E$47</c:f>
              <c:numCache>
                <c:formatCode>#,##0</c:formatCode>
                <c:ptCount val="1"/>
                <c:pt idx="0">
                  <c:v>2241.2902364014676</c:v>
                </c:pt>
              </c:numCache>
            </c:numRef>
          </c:bubbleSize>
          <c:bubble3D val="1"/>
        </c:ser>
        <c:ser>
          <c:idx val="9"/>
          <c:order val="5"/>
          <c:tx>
            <c:v>Personal services</c:v>
          </c:tx>
          <c:spPr>
            <a:solidFill>
              <a:srgbClr val="9999FF"/>
            </a:solidFill>
            <a:ln w="25400">
              <a:noFill/>
            </a:ln>
          </c:spPr>
          <c:invertIfNegative val="0"/>
          <c:xVal>
            <c:numRef>
              <c:f>'Rel. prod. cf employment1'!$B$48</c:f>
              <c:numCache>
                <c:formatCode>0.0</c:formatCode>
                <c:ptCount val="1"/>
                <c:pt idx="0">
                  <c:v>1.4076818627095893</c:v>
                </c:pt>
              </c:numCache>
            </c:numRef>
          </c:xVal>
          <c:yVal>
            <c:numRef>
              <c:f>'Rel. prod. cf employment1'!$C$48</c:f>
              <c:numCache>
                <c:formatCode>0.0</c:formatCode>
                <c:ptCount val="1"/>
                <c:pt idx="0">
                  <c:v>0.18102110958547579</c:v>
                </c:pt>
              </c:numCache>
            </c:numRef>
          </c:yVal>
          <c:bubbleSize>
            <c:numRef>
              <c:f>'Rel. prod. cf employment1'!$E$48</c:f>
              <c:numCache>
                <c:formatCode>#,##0</c:formatCode>
                <c:ptCount val="1"/>
                <c:pt idx="0">
                  <c:v>3315.5247698298986</c:v>
                </c:pt>
              </c:numCache>
            </c:numRef>
          </c:bubbleSize>
          <c:bubble3D val="1"/>
        </c:ser>
        <c:ser>
          <c:idx val="6"/>
          <c:order val="6"/>
          <c:tx>
            <c:v>Transport services</c:v>
          </c:tx>
          <c:spPr>
            <a:solidFill>
              <a:srgbClr val="FF00FF"/>
            </a:solidFill>
            <a:ln w="25400">
              <a:noFill/>
            </a:ln>
          </c:spPr>
          <c:invertIfNegative val="0"/>
          <c:xVal>
            <c:numRef>
              <c:f>'Rel. prod. cf employment1'!$B$45</c:f>
              <c:numCache>
                <c:formatCode>0.0</c:formatCode>
                <c:ptCount val="1"/>
                <c:pt idx="0">
                  <c:v>1.2250570236536149</c:v>
                </c:pt>
              </c:numCache>
            </c:numRef>
          </c:xVal>
          <c:yVal>
            <c:numRef>
              <c:f>'Rel. prod. cf employment1'!$C$45</c:f>
              <c:numCache>
                <c:formatCode>0.0</c:formatCode>
                <c:ptCount val="1"/>
                <c:pt idx="0">
                  <c:v>0.65012884146671857</c:v>
                </c:pt>
              </c:numCache>
            </c:numRef>
          </c:yVal>
          <c:bubbleSize>
            <c:numRef>
              <c:f>'Rel. prod. cf employment1'!$E$45</c:f>
              <c:numCache>
                <c:formatCode>#,##0</c:formatCode>
                <c:ptCount val="1"/>
                <c:pt idx="0">
                  <c:v>1568.0934853963345</c:v>
                </c:pt>
              </c:numCache>
            </c:numRef>
          </c:bubbleSize>
          <c:bubble3D val="1"/>
        </c:ser>
        <c:ser>
          <c:idx val="7"/>
          <c:order val="7"/>
          <c:tx>
            <c:v>Business services</c:v>
          </c:tx>
          <c:spPr>
            <a:solidFill>
              <a:srgbClr val="99FF66"/>
            </a:solidFill>
            <a:ln w="25400">
              <a:noFill/>
            </a:ln>
          </c:spPr>
          <c:invertIfNegative val="0"/>
          <c:xVal>
            <c:numRef>
              <c:f>'Rel. prod. cf employment1'!$B$46</c:f>
              <c:numCache>
                <c:formatCode>0.0</c:formatCode>
                <c:ptCount val="1"/>
                <c:pt idx="0">
                  <c:v>0.92455021998122278</c:v>
                </c:pt>
              </c:numCache>
            </c:numRef>
          </c:xVal>
          <c:yVal>
            <c:numRef>
              <c:f>'Rel. prod. cf employment1'!$C$46</c:f>
              <c:numCache>
                <c:formatCode>0.0</c:formatCode>
                <c:ptCount val="1"/>
                <c:pt idx="0">
                  <c:v>0.83475674885384921</c:v>
                </c:pt>
              </c:numCache>
            </c:numRef>
          </c:yVal>
          <c:bubbleSize>
            <c:numRef>
              <c:f>'Rel. prod. cf employment1'!$E$46</c:f>
              <c:numCache>
                <c:formatCode>#,##0</c:formatCode>
                <c:ptCount val="1"/>
                <c:pt idx="0">
                  <c:v>1350.3364775212181</c:v>
                </c:pt>
              </c:numCache>
            </c:numRef>
          </c:bubbleSize>
          <c:bubble3D val="1"/>
        </c:ser>
        <c:ser>
          <c:idx val="4"/>
          <c:order val="8"/>
          <c:tx>
            <c:v>Construction</c:v>
          </c:tx>
          <c:spPr>
            <a:solidFill>
              <a:srgbClr val="6600FF"/>
            </a:solidFill>
            <a:ln w="25400">
              <a:noFill/>
            </a:ln>
          </c:spPr>
          <c:invertIfNegative val="0"/>
          <c:xVal>
            <c:numRef>
              <c:f>'Rel. prod. cf employment1'!$B$43</c:f>
              <c:numCache>
                <c:formatCode>0.0</c:formatCode>
                <c:ptCount val="1"/>
                <c:pt idx="0">
                  <c:v>0.53172147119710744</c:v>
                </c:pt>
              </c:numCache>
            </c:numRef>
          </c:xVal>
          <c:yVal>
            <c:numRef>
              <c:f>'Rel. prod. cf employment1'!$C$43</c:f>
              <c:numCache>
                <c:formatCode>0.0</c:formatCode>
                <c:ptCount val="1"/>
                <c:pt idx="0">
                  <c:v>1.3760485171934849</c:v>
                </c:pt>
              </c:numCache>
            </c:numRef>
          </c:yVal>
          <c:bubbleSize>
            <c:numRef>
              <c:f>'Rel. prod. cf employment1'!$E$43</c:f>
              <c:numCache>
                <c:formatCode>#,##0</c:formatCode>
                <c:ptCount val="1"/>
                <c:pt idx="0">
                  <c:v>793.09757872422324</c:v>
                </c:pt>
              </c:numCache>
            </c:numRef>
          </c:bubbleSize>
          <c:bubble3D val="1"/>
        </c:ser>
        <c:dLbls>
          <c:showLegendKey val="0"/>
          <c:showVal val="0"/>
          <c:showCatName val="0"/>
          <c:showSerName val="0"/>
          <c:showPercent val="0"/>
          <c:showBubbleSize val="0"/>
        </c:dLbls>
        <c:bubbleScale val="100"/>
        <c:showNegBubbles val="0"/>
        <c:axId val="386875776"/>
        <c:axId val="387223552"/>
      </c:bubbleChart>
      <c:valAx>
        <c:axId val="386875776"/>
        <c:scaling>
          <c:orientation val="minMax"/>
          <c:max val="6"/>
          <c:min val="-10"/>
        </c:scaling>
        <c:delete val="0"/>
        <c:axPos val="b"/>
        <c:title>
          <c:tx>
            <c:rich>
              <a:bodyPr/>
              <a:lstStyle/>
              <a:p>
                <a:pPr>
                  <a:defRPr sz="800" b="0"/>
                </a:pPr>
                <a:r>
                  <a:rPr lang="en-US" sz="800" b="0"/>
                  <a:t>Percentage point change in share of persons engaged, 2005-10</a:t>
                </a:r>
              </a:p>
            </c:rich>
          </c:tx>
          <c:layout/>
          <c:overlay val="0"/>
        </c:title>
        <c:numFmt formatCode="0.0" sourceLinked="1"/>
        <c:majorTickMark val="out"/>
        <c:minorTickMark val="none"/>
        <c:tickLblPos val="low"/>
        <c:crossAx val="387223552"/>
        <c:crosses val="autoZero"/>
        <c:crossBetween val="midCat"/>
        <c:majorUnit val="2"/>
      </c:valAx>
      <c:valAx>
        <c:axId val="387223552"/>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 sourceLinked="1"/>
        <c:majorTickMark val="out"/>
        <c:minorTickMark val="none"/>
        <c:tickLblPos val="low"/>
        <c:crossAx val="3868757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employment4'!$B$58</c:f>
              <c:numCache>
                <c:formatCode>#,##0.0_ ;\-#,##0.0\ </c:formatCode>
                <c:ptCount val="1"/>
                <c:pt idx="0">
                  <c:v>-3.5462784600622967</c:v>
                </c:pt>
              </c:numCache>
            </c:numRef>
          </c:xVal>
          <c:yVal>
            <c:numRef>
              <c:f>'Rel. prod. cf employment4'!$C$58</c:f>
              <c:numCache>
                <c:formatCode>#,##0.0_ ;\-#,##0.0\ </c:formatCode>
                <c:ptCount val="1"/>
                <c:pt idx="0">
                  <c:v>0.55858189267978131</c:v>
                </c:pt>
              </c:numCache>
            </c:numRef>
          </c:yVal>
          <c:bubbleSize>
            <c:numRef>
              <c:f>'Rel. prod. cf employment4'!$E$58</c:f>
              <c:numCache>
                <c:formatCode>#,##0_ ;\-#,##0\ </c:formatCode>
                <c:ptCount val="1"/>
                <c:pt idx="0">
                  <c:v>20082</c:v>
                </c:pt>
              </c:numCache>
            </c:numRef>
          </c:bubbleSize>
          <c:bubble3D val="1"/>
        </c:ser>
        <c:ser>
          <c:idx val="1"/>
          <c:order val="1"/>
          <c:tx>
            <c:v>Mining &amp; utilities</c:v>
          </c:tx>
          <c:spPr>
            <a:solidFill>
              <a:srgbClr val="000000"/>
            </a:solidFill>
            <a:ln w="25400">
              <a:noFill/>
            </a:ln>
          </c:spPr>
          <c:invertIfNegative val="0"/>
          <c:xVal>
            <c:numRef>
              <c:f>'Rel. prod. cf employment4'!$B$59</c:f>
              <c:numCache>
                <c:formatCode>#,##0.0_ ;\-#,##0.0\ </c:formatCode>
                <c:ptCount val="1"/>
                <c:pt idx="0">
                  <c:v>8.2790873034931156E-2</c:v>
                </c:pt>
              </c:numCache>
            </c:numRef>
          </c:xVal>
          <c:yVal>
            <c:numRef>
              <c:f>'Rel. prod. cf employment4'!$C$59</c:f>
              <c:numCache>
                <c:formatCode>#,##0.0_ ;\-#,##0.0\ </c:formatCode>
                <c:ptCount val="1"/>
                <c:pt idx="0">
                  <c:v>3.4077940929722357</c:v>
                </c:pt>
              </c:numCache>
            </c:numRef>
          </c:yVal>
          <c:bubbleSize>
            <c:numRef>
              <c:f>'Rel. prod. cf employment4'!$E$59</c:f>
              <c:numCache>
                <c:formatCode>#,##0_ ;\-#,##0\ </c:formatCode>
                <c:ptCount val="1"/>
                <c:pt idx="0">
                  <c:v>722</c:v>
                </c:pt>
              </c:numCache>
            </c:numRef>
          </c:bubbleSize>
          <c:bubble3D val="1"/>
        </c:ser>
        <c:ser>
          <c:idx val="2"/>
          <c:order val="2"/>
          <c:tx>
            <c:v>Manufacturing</c:v>
          </c:tx>
          <c:spPr>
            <a:solidFill>
              <a:srgbClr val="CC6600"/>
            </a:solidFill>
            <a:ln w="25400">
              <a:noFill/>
            </a:ln>
          </c:spPr>
          <c:invertIfNegative val="0"/>
          <c:xVal>
            <c:numRef>
              <c:f>'Rel. prod. cf employment4'!$B$60</c:f>
              <c:numCache>
                <c:formatCode>#,##0.0_ ;\-#,##0.0\ </c:formatCode>
                <c:ptCount val="1"/>
                <c:pt idx="0">
                  <c:v>0.72306470066294981</c:v>
                </c:pt>
              </c:numCache>
            </c:numRef>
          </c:xVal>
          <c:yVal>
            <c:numRef>
              <c:f>'Rel. prod. cf employment4'!$C$60</c:f>
              <c:numCache>
                <c:formatCode>#,##0.0_ ;\-#,##0.0\ </c:formatCode>
                <c:ptCount val="1"/>
                <c:pt idx="0">
                  <c:v>1.1804875287442294</c:v>
                </c:pt>
              </c:numCache>
            </c:numRef>
          </c:yVal>
          <c:bubbleSize>
            <c:numRef>
              <c:f>'Rel. prod. cf employment4'!$E$60</c:f>
              <c:numCache>
                <c:formatCode>#,##0_ ;\-#,##0\ </c:formatCode>
                <c:ptCount val="1"/>
                <c:pt idx="0">
                  <c:v>3657</c:v>
                </c:pt>
              </c:numCache>
            </c:numRef>
          </c:bubbleSize>
          <c:bubble3D val="1"/>
        </c:ser>
        <c:ser>
          <c:idx val="3"/>
          <c:order val="3"/>
          <c:tx>
            <c:v>Construction</c:v>
          </c:tx>
          <c:spPr>
            <a:solidFill>
              <a:srgbClr val="FFFF00"/>
            </a:solidFill>
            <a:ln w="25400">
              <a:noFill/>
            </a:ln>
          </c:spPr>
          <c:invertIfNegative val="0"/>
          <c:xVal>
            <c:numRef>
              <c:f>'Rel. prod. cf employment4'!$B$61</c:f>
              <c:numCache>
                <c:formatCode>#,##0.0_ ;\-#,##0.0\ </c:formatCode>
                <c:ptCount val="1"/>
                <c:pt idx="0">
                  <c:v>4.698355532171683E-2</c:v>
                </c:pt>
              </c:numCache>
            </c:numRef>
          </c:xVal>
          <c:yVal>
            <c:numRef>
              <c:f>'Rel. prod. cf employment4'!$C$61</c:f>
              <c:numCache>
                <c:formatCode>#,##0.0_ ;\-#,##0.0\ </c:formatCode>
                <c:ptCount val="1"/>
                <c:pt idx="0">
                  <c:v>2.2957861176872854</c:v>
                </c:pt>
              </c:numCache>
            </c:numRef>
          </c:yVal>
          <c:bubbleSize>
            <c:numRef>
              <c:f>'Rel. prod. cf employment4'!$E$61</c:f>
              <c:numCache>
                <c:formatCode>#,##0_ ;\-#,##0\ </c:formatCode>
                <c:ptCount val="1"/>
                <c:pt idx="0">
                  <c:v>848</c:v>
                </c:pt>
              </c:numCache>
            </c:numRef>
          </c:bubbleSize>
          <c:bubble3D val="1"/>
        </c:ser>
        <c:ser>
          <c:idx val="4"/>
          <c:order val="4"/>
          <c:tx>
            <c:v>Wholesale, retail, hotels</c:v>
          </c:tx>
          <c:spPr>
            <a:solidFill>
              <a:srgbClr val="6666FF"/>
            </a:solidFill>
            <a:ln w="25400">
              <a:noFill/>
            </a:ln>
          </c:spPr>
          <c:invertIfNegative val="0"/>
          <c:xVal>
            <c:numRef>
              <c:f>'Rel. prod. cf employment4'!$B$62</c:f>
              <c:numCache>
                <c:formatCode>#,##0.0_ ;\-#,##0.0\ </c:formatCode>
                <c:ptCount val="1"/>
                <c:pt idx="0">
                  <c:v>1.023864064347606</c:v>
                </c:pt>
              </c:numCache>
            </c:numRef>
          </c:xVal>
          <c:yVal>
            <c:numRef>
              <c:f>'Rel. prod. cf employment4'!$C$62</c:f>
              <c:numCache>
                <c:formatCode>#,##0.0_ ;\-#,##0.0\ </c:formatCode>
                <c:ptCount val="1"/>
                <c:pt idx="0">
                  <c:v>0.88140723228459639</c:v>
                </c:pt>
              </c:numCache>
            </c:numRef>
          </c:yVal>
          <c:bubbleSize>
            <c:numRef>
              <c:f>'Rel. prod. cf employment4'!$E$62</c:f>
              <c:numCache>
                <c:formatCode>#,##0_ ;\-#,##0\ </c:formatCode>
                <c:ptCount val="1"/>
                <c:pt idx="0">
                  <c:v>12278</c:v>
                </c:pt>
              </c:numCache>
            </c:numRef>
          </c:bubbleSize>
          <c:bubble3D val="1"/>
        </c:ser>
        <c:ser>
          <c:idx val="5"/>
          <c:order val="5"/>
          <c:tx>
            <c:v>Transport, storage, comms</c:v>
          </c:tx>
          <c:spPr>
            <a:solidFill>
              <a:srgbClr val="66FFFF"/>
            </a:solidFill>
            <a:ln w="25400">
              <a:noFill/>
            </a:ln>
          </c:spPr>
          <c:invertIfNegative val="0"/>
          <c:xVal>
            <c:numRef>
              <c:f>'Rel. prod. cf employment4'!$B$63</c:f>
              <c:numCache>
                <c:formatCode>#,##0.0_ ;\-#,##0.0\ </c:formatCode>
                <c:ptCount val="1"/>
                <c:pt idx="0">
                  <c:v>0.26839450572264312</c:v>
                </c:pt>
              </c:numCache>
            </c:numRef>
          </c:xVal>
          <c:yVal>
            <c:numRef>
              <c:f>'Rel. prod. cf employment4'!$C$63</c:f>
              <c:numCache>
                <c:formatCode>#,##0.0_ ;\-#,##0.0\ </c:formatCode>
                <c:ptCount val="1"/>
                <c:pt idx="0">
                  <c:v>4.5490699548312934</c:v>
                </c:pt>
              </c:numCache>
            </c:numRef>
          </c:yVal>
          <c:bubbleSize>
            <c:numRef>
              <c:f>'Rel. prod. cf employment4'!$E$63</c:f>
              <c:numCache>
                <c:formatCode>#,##0_ ;\-#,##0\ </c:formatCode>
                <c:ptCount val="1"/>
                <c:pt idx="0">
                  <c:v>2019</c:v>
                </c:pt>
              </c:numCache>
            </c:numRef>
          </c:bubbleSize>
          <c:bubble3D val="1"/>
        </c:ser>
        <c:ser>
          <c:idx val="6"/>
          <c:order val="6"/>
          <c:tx>
            <c:v>Other</c:v>
          </c:tx>
          <c:spPr>
            <a:solidFill>
              <a:srgbClr val="FF00FF"/>
            </a:solidFill>
            <a:ln w="25400">
              <a:noFill/>
            </a:ln>
          </c:spPr>
          <c:invertIfNegative val="0"/>
          <c:xVal>
            <c:numRef>
              <c:f>'Rel. prod. cf employment4'!$B$64</c:f>
              <c:numCache>
                <c:formatCode>#,##0.0_ ;\-#,##0.0\ </c:formatCode>
                <c:ptCount val="1"/>
                <c:pt idx="0">
                  <c:v>1.4011807609724549</c:v>
                </c:pt>
              </c:numCache>
            </c:numRef>
          </c:xVal>
          <c:yVal>
            <c:numRef>
              <c:f>'Rel. prod. cf employment4'!$C$64</c:f>
              <c:numCache>
                <c:formatCode>#,##0.0_ ;\-#,##0.0\ </c:formatCode>
                <c:ptCount val="1"/>
                <c:pt idx="0">
                  <c:v>0.96748730181147169</c:v>
                </c:pt>
              </c:numCache>
            </c:numRef>
          </c:yVal>
          <c:bubbleSize>
            <c:numRef>
              <c:f>'Rel. prod. cf employment4'!$E$64</c:f>
              <c:numCache>
                <c:formatCode>#,##0_ ;\-#,##0\ </c:formatCode>
                <c:ptCount val="1"/>
                <c:pt idx="0">
                  <c:v>10526</c:v>
                </c:pt>
              </c:numCache>
            </c:numRef>
          </c:bubbleSize>
          <c:bubble3D val="1"/>
        </c:ser>
        <c:dLbls>
          <c:showLegendKey val="0"/>
          <c:showVal val="0"/>
          <c:showCatName val="0"/>
          <c:showSerName val="0"/>
          <c:showPercent val="0"/>
          <c:showBubbleSize val="0"/>
        </c:dLbls>
        <c:bubbleScale val="100"/>
        <c:showNegBubbles val="0"/>
        <c:axId val="594497536"/>
        <c:axId val="594499456"/>
      </c:bubbleChart>
      <c:valAx>
        <c:axId val="59449753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594499456"/>
        <c:crosses val="autoZero"/>
        <c:crossBetween val="midCat"/>
      </c:valAx>
      <c:valAx>
        <c:axId val="59449945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5944975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 of prod change4'!$B$4</c:f>
              <c:strCache>
                <c:ptCount val="1"/>
                <c:pt idx="0">
                  <c:v>Within sector</c:v>
                </c:pt>
              </c:strCache>
            </c:strRef>
          </c:tx>
          <c:invertIfNegative val="0"/>
          <c:cat>
            <c:strRef>
              <c:f>'Decomp. of prod change4'!$A$5:$A$8</c:f>
              <c:strCache>
                <c:ptCount val="4"/>
                <c:pt idx="0">
                  <c:v>1991-2000</c:v>
                </c:pt>
                <c:pt idx="1">
                  <c:v>2000-05</c:v>
                </c:pt>
                <c:pt idx="2">
                  <c:v>2005-10</c:v>
                </c:pt>
                <c:pt idx="3">
                  <c:v>2010-13</c:v>
                </c:pt>
              </c:strCache>
            </c:strRef>
          </c:cat>
          <c:val>
            <c:numRef>
              <c:f>'Decomp. of prod change4'!$B$5:$B$8</c:f>
              <c:numCache>
                <c:formatCode>0.00%</c:formatCode>
                <c:ptCount val="4"/>
                <c:pt idx="0">
                  <c:v>1.4260835287218331E-4</c:v>
                </c:pt>
                <c:pt idx="1">
                  <c:v>0.10153374331299418</c:v>
                </c:pt>
                <c:pt idx="2">
                  <c:v>5.8804995659280011E-2</c:v>
                </c:pt>
                <c:pt idx="3">
                  <c:v>2.8946505087765226E-2</c:v>
                </c:pt>
              </c:numCache>
            </c:numRef>
          </c:val>
        </c:ser>
        <c:ser>
          <c:idx val="1"/>
          <c:order val="1"/>
          <c:tx>
            <c:strRef>
              <c:f>'Decomp. of prod change4'!$C$4</c:f>
              <c:strCache>
                <c:ptCount val="1"/>
                <c:pt idx="0">
                  <c:v>Structural change</c:v>
                </c:pt>
              </c:strCache>
            </c:strRef>
          </c:tx>
          <c:spPr>
            <a:solidFill>
              <a:schemeClr val="accent6"/>
            </a:solidFill>
          </c:spPr>
          <c:invertIfNegative val="0"/>
          <c:cat>
            <c:strRef>
              <c:f>'Decomp. of prod change4'!$A$5:$A$8</c:f>
              <c:strCache>
                <c:ptCount val="4"/>
                <c:pt idx="0">
                  <c:v>1991-2000</c:v>
                </c:pt>
                <c:pt idx="1">
                  <c:v>2000-05</c:v>
                </c:pt>
                <c:pt idx="2">
                  <c:v>2005-10</c:v>
                </c:pt>
                <c:pt idx="3">
                  <c:v>2010-13</c:v>
                </c:pt>
              </c:strCache>
            </c:strRef>
          </c:cat>
          <c:val>
            <c:numRef>
              <c:f>'Decomp. of prod change4'!$C$5:$C$8</c:f>
              <c:numCache>
                <c:formatCode>0.00%</c:formatCode>
                <c:ptCount val="4"/>
                <c:pt idx="0">
                  <c:v>9.3105491870180469E-4</c:v>
                </c:pt>
                <c:pt idx="1">
                  <c:v>-1.8701439401392503E-2</c:v>
                </c:pt>
                <c:pt idx="2">
                  <c:v>-7.4050702678631758E-4</c:v>
                </c:pt>
                <c:pt idx="3">
                  <c:v>-7.7457034411542482E-3</c:v>
                </c:pt>
              </c:numCache>
            </c:numRef>
          </c:val>
        </c:ser>
        <c:dLbls>
          <c:showLegendKey val="0"/>
          <c:showVal val="0"/>
          <c:showCatName val="0"/>
          <c:showSerName val="0"/>
          <c:showPercent val="0"/>
          <c:showBubbleSize val="0"/>
        </c:dLbls>
        <c:gapWidth val="150"/>
        <c:overlap val="100"/>
        <c:axId val="592969728"/>
        <c:axId val="592971264"/>
      </c:barChart>
      <c:catAx>
        <c:axId val="592969728"/>
        <c:scaling>
          <c:orientation val="minMax"/>
        </c:scaling>
        <c:delete val="0"/>
        <c:axPos val="b"/>
        <c:majorTickMark val="out"/>
        <c:minorTickMark val="none"/>
        <c:tickLblPos val="low"/>
        <c:crossAx val="592971264"/>
        <c:crosses val="autoZero"/>
        <c:auto val="1"/>
        <c:lblAlgn val="ctr"/>
        <c:lblOffset val="100"/>
        <c:noMultiLvlLbl val="0"/>
      </c:catAx>
      <c:valAx>
        <c:axId val="592971264"/>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59296972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gaps4'!$I$5</c:f>
              <c:strCache>
                <c:ptCount val="1"/>
                <c:pt idx="0">
                  <c:v>Agriculture</c:v>
                </c:pt>
              </c:strCache>
            </c:strRef>
          </c:tx>
          <c:spPr>
            <a:solidFill>
              <a:srgbClr val="13CF44"/>
            </a:solidFill>
            <a:ln w="3175">
              <a:solidFill>
                <a:schemeClr val="bg1">
                  <a:lumMod val="50000"/>
                </a:schemeClr>
              </a:solidFill>
            </a:ln>
          </c:spPr>
          <c:cat>
            <c:numRef>
              <c:f>'Productivity gaps4'!$H$6:$H$27</c:f>
              <c:numCache>
                <c:formatCode>0.00</c:formatCode>
                <c:ptCount val="22"/>
                <c:pt idx="0">
                  <c:v>0</c:v>
                </c:pt>
                <c:pt idx="1">
                  <c:v>0</c:v>
                </c:pt>
                <c:pt idx="2">
                  <c:v>20.029123114976464</c:v>
                </c:pt>
                <c:pt idx="3">
                  <c:v>40.058246229952928</c:v>
                </c:pt>
                <c:pt idx="4">
                  <c:v>40.058246229952928</c:v>
                </c:pt>
                <c:pt idx="5">
                  <c:v>52.303917657384503</c:v>
                </c:pt>
                <c:pt idx="6">
                  <c:v>64.549589084816077</c:v>
                </c:pt>
                <c:pt idx="7">
                  <c:v>64.549589084816077</c:v>
                </c:pt>
                <c:pt idx="8">
                  <c:v>75.047873613659931</c:v>
                </c:pt>
                <c:pt idx="9">
                  <c:v>85.546158142503799</c:v>
                </c:pt>
                <c:pt idx="10">
                  <c:v>85.546158142503799</c:v>
                </c:pt>
                <c:pt idx="11">
                  <c:v>89.193529083220312</c:v>
                </c:pt>
                <c:pt idx="12">
                  <c:v>92.840900023936811</c:v>
                </c:pt>
                <c:pt idx="13">
                  <c:v>92.840900023936811</c:v>
                </c:pt>
                <c:pt idx="14">
                  <c:v>93.686667198595714</c:v>
                </c:pt>
                <c:pt idx="15">
                  <c:v>94.532434373254617</c:v>
                </c:pt>
                <c:pt idx="16">
                  <c:v>94.532434373254617</c:v>
                </c:pt>
                <c:pt idx="17">
                  <c:v>95.252533312056187</c:v>
                </c:pt>
                <c:pt idx="18">
                  <c:v>95.972632250857743</c:v>
                </c:pt>
                <c:pt idx="19">
                  <c:v>95.972632250857743</c:v>
                </c:pt>
                <c:pt idx="20">
                  <c:v>97.986316125428885</c:v>
                </c:pt>
                <c:pt idx="21">
                  <c:v>100.00000000000003</c:v>
                </c:pt>
              </c:numCache>
            </c:numRef>
          </c:cat>
          <c:val>
            <c:numRef>
              <c:f>'Productivity gaps4'!$I$6:$I$27</c:f>
              <c:numCache>
                <c:formatCode>#,##0.0</c:formatCode>
                <c:ptCount val="22"/>
                <c:pt idx="0" formatCode="General">
                  <c:v>0</c:v>
                </c:pt>
                <c:pt idx="1">
                  <c:v>0.55858189267978131</c:v>
                </c:pt>
                <c:pt idx="2">
                  <c:v>0.55858189267978131</c:v>
                </c:pt>
                <c:pt idx="3">
                  <c:v>0.55858189267978131</c:v>
                </c:pt>
                <c:pt idx="4" formatCode="General">
                  <c:v>0</c:v>
                </c:pt>
              </c:numCache>
            </c:numRef>
          </c:val>
        </c:ser>
        <c:ser>
          <c:idx val="1"/>
          <c:order val="1"/>
          <c:tx>
            <c:strRef>
              <c:f>'Productivity gaps4'!$J$5</c:f>
              <c:strCache>
                <c:ptCount val="1"/>
                <c:pt idx="0">
                  <c:v>Wholesale, retail, hotels</c:v>
                </c:pt>
              </c:strCache>
            </c:strRef>
          </c:tx>
          <c:spPr>
            <a:solidFill>
              <a:srgbClr val="6666FF"/>
            </a:solidFill>
            <a:ln w="3175">
              <a:solidFill>
                <a:schemeClr val="bg1">
                  <a:lumMod val="50000"/>
                </a:schemeClr>
              </a:solidFill>
            </a:ln>
          </c:spPr>
          <c:cat>
            <c:numRef>
              <c:f>'Productivity gaps4'!$H$6:$H$27</c:f>
              <c:numCache>
                <c:formatCode>0.00</c:formatCode>
                <c:ptCount val="22"/>
                <c:pt idx="0">
                  <c:v>0</c:v>
                </c:pt>
                <c:pt idx="1">
                  <c:v>0</c:v>
                </c:pt>
                <c:pt idx="2">
                  <c:v>20.029123114976464</c:v>
                </c:pt>
                <c:pt idx="3">
                  <c:v>40.058246229952928</c:v>
                </c:pt>
                <c:pt idx="4">
                  <c:v>40.058246229952928</c:v>
                </c:pt>
                <c:pt idx="5">
                  <c:v>52.303917657384503</c:v>
                </c:pt>
                <c:pt idx="6">
                  <c:v>64.549589084816077</c:v>
                </c:pt>
                <c:pt idx="7">
                  <c:v>64.549589084816077</c:v>
                </c:pt>
                <c:pt idx="8">
                  <c:v>75.047873613659931</c:v>
                </c:pt>
                <c:pt idx="9">
                  <c:v>85.546158142503799</c:v>
                </c:pt>
                <c:pt idx="10">
                  <c:v>85.546158142503799</c:v>
                </c:pt>
                <c:pt idx="11">
                  <c:v>89.193529083220312</c:v>
                </c:pt>
                <c:pt idx="12">
                  <c:v>92.840900023936811</c:v>
                </c:pt>
                <c:pt idx="13">
                  <c:v>92.840900023936811</c:v>
                </c:pt>
                <c:pt idx="14">
                  <c:v>93.686667198595714</c:v>
                </c:pt>
                <c:pt idx="15">
                  <c:v>94.532434373254617</c:v>
                </c:pt>
                <c:pt idx="16">
                  <c:v>94.532434373254617</c:v>
                </c:pt>
                <c:pt idx="17">
                  <c:v>95.252533312056187</c:v>
                </c:pt>
                <c:pt idx="18">
                  <c:v>95.972632250857743</c:v>
                </c:pt>
                <c:pt idx="19">
                  <c:v>95.972632250857743</c:v>
                </c:pt>
                <c:pt idx="20">
                  <c:v>97.986316125428885</c:v>
                </c:pt>
                <c:pt idx="21">
                  <c:v>100.00000000000003</c:v>
                </c:pt>
              </c:numCache>
            </c:numRef>
          </c:cat>
          <c:val>
            <c:numRef>
              <c:f>'Productivity gaps4'!$J$6:$J$27</c:f>
              <c:numCache>
                <c:formatCode>General</c:formatCode>
                <c:ptCount val="22"/>
                <c:pt idx="3">
                  <c:v>0</c:v>
                </c:pt>
                <c:pt idx="4" formatCode="#,##0.000">
                  <c:v>0.88140723228459639</c:v>
                </c:pt>
                <c:pt idx="5" formatCode="#,##0.000">
                  <c:v>0.88140723228459639</c:v>
                </c:pt>
                <c:pt idx="6" formatCode="#,##0.000">
                  <c:v>0.88140723228459639</c:v>
                </c:pt>
                <c:pt idx="7">
                  <c:v>0</c:v>
                </c:pt>
              </c:numCache>
            </c:numRef>
          </c:val>
        </c:ser>
        <c:ser>
          <c:idx val="2"/>
          <c:order val="2"/>
          <c:tx>
            <c:strRef>
              <c:f>'Productivity gaps4'!$K$5</c:f>
              <c:strCache>
                <c:ptCount val="1"/>
                <c:pt idx="0">
                  <c:v>Other</c:v>
                </c:pt>
              </c:strCache>
            </c:strRef>
          </c:tx>
          <c:spPr>
            <a:solidFill>
              <a:srgbClr val="CC6600"/>
            </a:solidFill>
            <a:ln w="3175">
              <a:solidFill>
                <a:schemeClr val="bg1">
                  <a:lumMod val="50000"/>
                </a:schemeClr>
              </a:solidFill>
            </a:ln>
          </c:spPr>
          <c:cat>
            <c:numRef>
              <c:f>'Productivity gaps4'!$H$6:$H$27</c:f>
              <c:numCache>
                <c:formatCode>0.00</c:formatCode>
                <c:ptCount val="22"/>
                <c:pt idx="0">
                  <c:v>0</c:v>
                </c:pt>
                <c:pt idx="1">
                  <c:v>0</c:v>
                </c:pt>
                <c:pt idx="2">
                  <c:v>20.029123114976464</c:v>
                </c:pt>
                <c:pt idx="3">
                  <c:v>40.058246229952928</c:v>
                </c:pt>
                <c:pt idx="4">
                  <c:v>40.058246229952928</c:v>
                </c:pt>
                <c:pt idx="5">
                  <c:v>52.303917657384503</c:v>
                </c:pt>
                <c:pt idx="6">
                  <c:v>64.549589084816077</c:v>
                </c:pt>
                <c:pt idx="7">
                  <c:v>64.549589084816077</c:v>
                </c:pt>
                <c:pt idx="8">
                  <c:v>75.047873613659931</c:v>
                </c:pt>
                <c:pt idx="9">
                  <c:v>85.546158142503799</c:v>
                </c:pt>
                <c:pt idx="10">
                  <c:v>85.546158142503799</c:v>
                </c:pt>
                <c:pt idx="11">
                  <c:v>89.193529083220312</c:v>
                </c:pt>
                <c:pt idx="12">
                  <c:v>92.840900023936811</c:v>
                </c:pt>
                <c:pt idx="13">
                  <c:v>92.840900023936811</c:v>
                </c:pt>
                <c:pt idx="14">
                  <c:v>93.686667198595714</c:v>
                </c:pt>
                <c:pt idx="15">
                  <c:v>94.532434373254617</c:v>
                </c:pt>
                <c:pt idx="16">
                  <c:v>94.532434373254617</c:v>
                </c:pt>
                <c:pt idx="17">
                  <c:v>95.252533312056187</c:v>
                </c:pt>
                <c:pt idx="18">
                  <c:v>95.972632250857743</c:v>
                </c:pt>
                <c:pt idx="19">
                  <c:v>95.972632250857743</c:v>
                </c:pt>
                <c:pt idx="20">
                  <c:v>97.986316125428885</c:v>
                </c:pt>
                <c:pt idx="21">
                  <c:v>100.00000000000003</c:v>
                </c:pt>
              </c:numCache>
            </c:numRef>
          </c:cat>
          <c:val>
            <c:numRef>
              <c:f>'Productivity gaps4'!$K$6:$K$27</c:f>
              <c:numCache>
                <c:formatCode>General</c:formatCode>
                <c:ptCount val="22"/>
                <c:pt idx="6">
                  <c:v>0</c:v>
                </c:pt>
                <c:pt idx="7" formatCode="#,##0.000">
                  <c:v>0.96748730181147169</c:v>
                </c:pt>
                <c:pt idx="8" formatCode="#,##0.000">
                  <c:v>0.96748730181147169</c:v>
                </c:pt>
                <c:pt idx="9" formatCode="#,##0.000">
                  <c:v>0.96748730181147169</c:v>
                </c:pt>
                <c:pt idx="10">
                  <c:v>0</c:v>
                </c:pt>
              </c:numCache>
            </c:numRef>
          </c:val>
        </c:ser>
        <c:ser>
          <c:idx val="3"/>
          <c:order val="3"/>
          <c:tx>
            <c:strRef>
              <c:f>'Productivity gaps4'!$L$5</c:f>
              <c:strCache>
                <c:ptCount val="1"/>
                <c:pt idx="0">
                  <c:v>Manufacturing</c:v>
                </c:pt>
              </c:strCache>
            </c:strRef>
          </c:tx>
          <c:spPr>
            <a:solidFill>
              <a:srgbClr val="FF00FF"/>
            </a:solidFill>
            <a:ln w="3175">
              <a:solidFill>
                <a:schemeClr val="bg1">
                  <a:lumMod val="50000"/>
                </a:schemeClr>
              </a:solidFill>
            </a:ln>
          </c:spPr>
          <c:cat>
            <c:numRef>
              <c:f>'Productivity gaps4'!$H$6:$H$27</c:f>
              <c:numCache>
                <c:formatCode>0.00</c:formatCode>
                <c:ptCount val="22"/>
                <c:pt idx="0">
                  <c:v>0</c:v>
                </c:pt>
                <c:pt idx="1">
                  <c:v>0</c:v>
                </c:pt>
                <c:pt idx="2">
                  <c:v>20.029123114976464</c:v>
                </c:pt>
                <c:pt idx="3">
                  <c:v>40.058246229952928</c:v>
                </c:pt>
                <c:pt idx="4">
                  <c:v>40.058246229952928</c:v>
                </c:pt>
                <c:pt idx="5">
                  <c:v>52.303917657384503</c:v>
                </c:pt>
                <c:pt idx="6">
                  <c:v>64.549589084816077</c:v>
                </c:pt>
                <c:pt idx="7">
                  <c:v>64.549589084816077</c:v>
                </c:pt>
                <c:pt idx="8">
                  <c:v>75.047873613659931</c:v>
                </c:pt>
                <c:pt idx="9">
                  <c:v>85.546158142503799</c:v>
                </c:pt>
                <c:pt idx="10">
                  <c:v>85.546158142503799</c:v>
                </c:pt>
                <c:pt idx="11">
                  <c:v>89.193529083220312</c:v>
                </c:pt>
                <c:pt idx="12">
                  <c:v>92.840900023936811</c:v>
                </c:pt>
                <c:pt idx="13">
                  <c:v>92.840900023936811</c:v>
                </c:pt>
                <c:pt idx="14">
                  <c:v>93.686667198595714</c:v>
                </c:pt>
                <c:pt idx="15">
                  <c:v>94.532434373254617</c:v>
                </c:pt>
                <c:pt idx="16">
                  <c:v>94.532434373254617</c:v>
                </c:pt>
                <c:pt idx="17">
                  <c:v>95.252533312056187</c:v>
                </c:pt>
                <c:pt idx="18">
                  <c:v>95.972632250857743</c:v>
                </c:pt>
                <c:pt idx="19">
                  <c:v>95.972632250857743</c:v>
                </c:pt>
                <c:pt idx="20">
                  <c:v>97.986316125428885</c:v>
                </c:pt>
                <c:pt idx="21">
                  <c:v>100.00000000000003</c:v>
                </c:pt>
              </c:numCache>
            </c:numRef>
          </c:cat>
          <c:val>
            <c:numRef>
              <c:f>'Productivity gaps4'!$L$6:$L$27</c:f>
              <c:numCache>
                <c:formatCode>General</c:formatCode>
                <c:ptCount val="22"/>
                <c:pt idx="9">
                  <c:v>0</c:v>
                </c:pt>
                <c:pt idx="10" formatCode="#,##0.0">
                  <c:v>1.1804875287442294</c:v>
                </c:pt>
                <c:pt idx="11" formatCode="#,##0.0">
                  <c:v>1.1804875287442294</c:v>
                </c:pt>
                <c:pt idx="12" formatCode="#,##0.0">
                  <c:v>1.1804875287442294</c:v>
                </c:pt>
                <c:pt idx="13">
                  <c:v>0</c:v>
                </c:pt>
              </c:numCache>
            </c:numRef>
          </c:val>
        </c:ser>
        <c:ser>
          <c:idx val="4"/>
          <c:order val="4"/>
          <c:tx>
            <c:strRef>
              <c:f>'Productivity gaps4'!$M$5</c:f>
              <c:strCache>
                <c:ptCount val="1"/>
                <c:pt idx="0">
                  <c:v>Construction</c:v>
                </c:pt>
              </c:strCache>
            </c:strRef>
          </c:tx>
          <c:spPr>
            <a:solidFill>
              <a:srgbClr val="66FFFF"/>
            </a:solidFill>
            <a:ln w="3175">
              <a:solidFill>
                <a:schemeClr val="bg1">
                  <a:lumMod val="50000"/>
                </a:schemeClr>
              </a:solidFill>
            </a:ln>
          </c:spPr>
          <c:cat>
            <c:numRef>
              <c:f>'Productivity gaps4'!$H$6:$H$27</c:f>
              <c:numCache>
                <c:formatCode>0.00</c:formatCode>
                <c:ptCount val="22"/>
                <c:pt idx="0">
                  <c:v>0</c:v>
                </c:pt>
                <c:pt idx="1">
                  <c:v>0</c:v>
                </c:pt>
                <c:pt idx="2">
                  <c:v>20.029123114976464</c:v>
                </c:pt>
                <c:pt idx="3">
                  <c:v>40.058246229952928</c:v>
                </c:pt>
                <c:pt idx="4">
                  <c:v>40.058246229952928</c:v>
                </c:pt>
                <c:pt idx="5">
                  <c:v>52.303917657384503</c:v>
                </c:pt>
                <c:pt idx="6">
                  <c:v>64.549589084816077</c:v>
                </c:pt>
                <c:pt idx="7">
                  <c:v>64.549589084816077</c:v>
                </c:pt>
                <c:pt idx="8">
                  <c:v>75.047873613659931</c:v>
                </c:pt>
                <c:pt idx="9">
                  <c:v>85.546158142503799</c:v>
                </c:pt>
                <c:pt idx="10">
                  <c:v>85.546158142503799</c:v>
                </c:pt>
                <c:pt idx="11">
                  <c:v>89.193529083220312</c:v>
                </c:pt>
                <c:pt idx="12">
                  <c:v>92.840900023936811</c:v>
                </c:pt>
                <c:pt idx="13">
                  <c:v>92.840900023936811</c:v>
                </c:pt>
                <c:pt idx="14">
                  <c:v>93.686667198595714</c:v>
                </c:pt>
                <c:pt idx="15">
                  <c:v>94.532434373254617</c:v>
                </c:pt>
                <c:pt idx="16">
                  <c:v>94.532434373254617</c:v>
                </c:pt>
                <c:pt idx="17">
                  <c:v>95.252533312056187</c:v>
                </c:pt>
                <c:pt idx="18">
                  <c:v>95.972632250857743</c:v>
                </c:pt>
                <c:pt idx="19">
                  <c:v>95.972632250857743</c:v>
                </c:pt>
                <c:pt idx="20">
                  <c:v>97.986316125428885</c:v>
                </c:pt>
                <c:pt idx="21">
                  <c:v>100.00000000000003</c:v>
                </c:pt>
              </c:numCache>
            </c:numRef>
          </c:cat>
          <c:val>
            <c:numRef>
              <c:f>'Productivity gaps4'!$M$6:$M$27</c:f>
              <c:numCache>
                <c:formatCode>General</c:formatCode>
                <c:ptCount val="22"/>
                <c:pt idx="12">
                  <c:v>0</c:v>
                </c:pt>
                <c:pt idx="13" formatCode="#,##0.0">
                  <c:v>2.2957861176872854</c:v>
                </c:pt>
                <c:pt idx="14" formatCode="#,##0.0">
                  <c:v>2.2957861176872854</c:v>
                </c:pt>
                <c:pt idx="15" formatCode="#,##0.0">
                  <c:v>2.2957861176872854</c:v>
                </c:pt>
                <c:pt idx="16">
                  <c:v>0</c:v>
                </c:pt>
              </c:numCache>
            </c:numRef>
          </c:val>
        </c:ser>
        <c:ser>
          <c:idx val="5"/>
          <c:order val="5"/>
          <c:tx>
            <c:strRef>
              <c:f>'Productivity gaps4'!$N$5</c:f>
              <c:strCache>
                <c:ptCount val="1"/>
                <c:pt idx="0">
                  <c:v>Mining &amp; utilities</c:v>
                </c:pt>
              </c:strCache>
            </c:strRef>
          </c:tx>
          <c:spPr>
            <a:solidFill>
              <a:srgbClr val="000000"/>
            </a:solidFill>
            <a:ln w="3175">
              <a:solidFill>
                <a:schemeClr val="bg1">
                  <a:lumMod val="50000"/>
                </a:schemeClr>
              </a:solidFill>
            </a:ln>
          </c:spPr>
          <c:cat>
            <c:numRef>
              <c:f>'Productivity gaps4'!$H$6:$H$27</c:f>
              <c:numCache>
                <c:formatCode>0.00</c:formatCode>
                <c:ptCount val="22"/>
                <c:pt idx="0">
                  <c:v>0</c:v>
                </c:pt>
                <c:pt idx="1">
                  <c:v>0</c:v>
                </c:pt>
                <c:pt idx="2">
                  <c:v>20.029123114976464</c:v>
                </c:pt>
                <c:pt idx="3">
                  <c:v>40.058246229952928</c:v>
                </c:pt>
                <c:pt idx="4">
                  <c:v>40.058246229952928</c:v>
                </c:pt>
                <c:pt idx="5">
                  <c:v>52.303917657384503</c:v>
                </c:pt>
                <c:pt idx="6">
                  <c:v>64.549589084816077</c:v>
                </c:pt>
                <c:pt idx="7">
                  <c:v>64.549589084816077</c:v>
                </c:pt>
                <c:pt idx="8">
                  <c:v>75.047873613659931</c:v>
                </c:pt>
                <c:pt idx="9">
                  <c:v>85.546158142503799</c:v>
                </c:pt>
                <c:pt idx="10">
                  <c:v>85.546158142503799</c:v>
                </c:pt>
                <c:pt idx="11">
                  <c:v>89.193529083220312</c:v>
                </c:pt>
                <c:pt idx="12">
                  <c:v>92.840900023936811</c:v>
                </c:pt>
                <c:pt idx="13">
                  <c:v>92.840900023936811</c:v>
                </c:pt>
                <c:pt idx="14">
                  <c:v>93.686667198595714</c:v>
                </c:pt>
                <c:pt idx="15">
                  <c:v>94.532434373254617</c:v>
                </c:pt>
                <c:pt idx="16">
                  <c:v>94.532434373254617</c:v>
                </c:pt>
                <c:pt idx="17">
                  <c:v>95.252533312056187</c:v>
                </c:pt>
                <c:pt idx="18">
                  <c:v>95.972632250857743</c:v>
                </c:pt>
                <c:pt idx="19">
                  <c:v>95.972632250857743</c:v>
                </c:pt>
                <c:pt idx="20">
                  <c:v>97.986316125428885</c:v>
                </c:pt>
                <c:pt idx="21">
                  <c:v>100.00000000000003</c:v>
                </c:pt>
              </c:numCache>
            </c:numRef>
          </c:cat>
          <c:val>
            <c:numRef>
              <c:f>'Productivity gaps4'!$N$6:$N$27</c:f>
              <c:numCache>
                <c:formatCode>General</c:formatCode>
                <c:ptCount val="22"/>
                <c:pt idx="15">
                  <c:v>0</c:v>
                </c:pt>
                <c:pt idx="16" formatCode="#,##0.0">
                  <c:v>3.4077940929722357</c:v>
                </c:pt>
                <c:pt idx="17" formatCode="#,##0.0">
                  <c:v>3.4077940929722357</c:v>
                </c:pt>
                <c:pt idx="18" formatCode="#,##0.0">
                  <c:v>3.4077940929722357</c:v>
                </c:pt>
                <c:pt idx="19">
                  <c:v>0</c:v>
                </c:pt>
              </c:numCache>
            </c:numRef>
          </c:val>
        </c:ser>
        <c:ser>
          <c:idx val="6"/>
          <c:order val="6"/>
          <c:tx>
            <c:strRef>
              <c:f>'Productivity gaps4'!$O$5</c:f>
              <c:strCache>
                <c:ptCount val="1"/>
                <c:pt idx="0">
                  <c:v>Transport, storage, comms</c:v>
                </c:pt>
              </c:strCache>
            </c:strRef>
          </c:tx>
          <c:spPr>
            <a:solidFill>
              <a:srgbClr val="FFFF00"/>
            </a:solidFill>
            <a:ln w="3175">
              <a:solidFill>
                <a:schemeClr val="bg1">
                  <a:lumMod val="50000"/>
                </a:schemeClr>
              </a:solidFill>
            </a:ln>
          </c:spPr>
          <c:cat>
            <c:numRef>
              <c:f>'Productivity gaps4'!$H$6:$H$27</c:f>
              <c:numCache>
                <c:formatCode>0.00</c:formatCode>
                <c:ptCount val="22"/>
                <c:pt idx="0">
                  <c:v>0</c:v>
                </c:pt>
                <c:pt idx="1">
                  <c:v>0</c:v>
                </c:pt>
                <c:pt idx="2">
                  <c:v>20.029123114976464</c:v>
                </c:pt>
                <c:pt idx="3">
                  <c:v>40.058246229952928</c:v>
                </c:pt>
                <c:pt idx="4">
                  <c:v>40.058246229952928</c:v>
                </c:pt>
                <c:pt idx="5">
                  <c:v>52.303917657384503</c:v>
                </c:pt>
                <c:pt idx="6">
                  <c:v>64.549589084816077</c:v>
                </c:pt>
                <c:pt idx="7">
                  <c:v>64.549589084816077</c:v>
                </c:pt>
                <c:pt idx="8">
                  <c:v>75.047873613659931</c:v>
                </c:pt>
                <c:pt idx="9">
                  <c:v>85.546158142503799</c:v>
                </c:pt>
                <c:pt idx="10">
                  <c:v>85.546158142503799</c:v>
                </c:pt>
                <c:pt idx="11">
                  <c:v>89.193529083220312</c:v>
                </c:pt>
                <c:pt idx="12">
                  <c:v>92.840900023936811</c:v>
                </c:pt>
                <c:pt idx="13">
                  <c:v>92.840900023936811</c:v>
                </c:pt>
                <c:pt idx="14">
                  <c:v>93.686667198595714</c:v>
                </c:pt>
                <c:pt idx="15">
                  <c:v>94.532434373254617</c:v>
                </c:pt>
                <c:pt idx="16">
                  <c:v>94.532434373254617</c:v>
                </c:pt>
                <c:pt idx="17">
                  <c:v>95.252533312056187</c:v>
                </c:pt>
                <c:pt idx="18">
                  <c:v>95.972632250857743</c:v>
                </c:pt>
                <c:pt idx="19">
                  <c:v>95.972632250857743</c:v>
                </c:pt>
                <c:pt idx="20">
                  <c:v>97.986316125428885</c:v>
                </c:pt>
                <c:pt idx="21">
                  <c:v>100.00000000000003</c:v>
                </c:pt>
              </c:numCache>
            </c:numRef>
          </c:cat>
          <c:val>
            <c:numRef>
              <c:f>'Productivity gaps4'!$O$6:$O$27</c:f>
              <c:numCache>
                <c:formatCode>General</c:formatCode>
                <c:ptCount val="22"/>
                <c:pt idx="18">
                  <c:v>0</c:v>
                </c:pt>
                <c:pt idx="19" formatCode="#,##0.0">
                  <c:v>4.5490699548312934</c:v>
                </c:pt>
                <c:pt idx="20" formatCode="#,##0.0">
                  <c:v>4.5490699548312934</c:v>
                </c:pt>
                <c:pt idx="21" formatCode="#,##0.0">
                  <c:v>4.5490699548312934</c:v>
                </c:pt>
              </c:numCache>
            </c:numRef>
          </c:val>
        </c:ser>
        <c:dLbls>
          <c:showLegendKey val="0"/>
          <c:showVal val="0"/>
          <c:showCatName val="0"/>
          <c:showSerName val="0"/>
          <c:showPercent val="0"/>
          <c:showBubbleSize val="0"/>
        </c:dLbls>
        <c:axId val="594836864"/>
        <c:axId val="594839040"/>
      </c:areaChart>
      <c:dateAx>
        <c:axId val="594836864"/>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594839040"/>
        <c:crosses val="autoZero"/>
        <c:auto val="0"/>
        <c:lblOffset val="100"/>
        <c:baseTimeUnit val="days"/>
        <c:majorUnit val="10"/>
        <c:majorTimeUnit val="days"/>
      </c:dateAx>
      <c:valAx>
        <c:axId val="594839040"/>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594836864"/>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sex2'!$A$6</c:f>
              <c:strCache>
                <c:ptCount val="1"/>
                <c:pt idx="0">
                  <c:v>Agriculture</c:v>
                </c:pt>
              </c:strCache>
            </c:strRef>
          </c:tx>
          <c:spPr>
            <a:solidFill>
              <a:schemeClr val="accent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sex2'!$B$6:$F$6</c:f>
              <c:numCache>
                <c:formatCode>General</c:formatCode>
                <c:ptCount val="5"/>
                <c:pt idx="0">
                  <c:v>54.800000000000004</c:v>
                </c:pt>
                <c:pt idx="1">
                  <c:v>53.7</c:v>
                </c:pt>
                <c:pt idx="2">
                  <c:v>53.1</c:v>
                </c:pt>
                <c:pt idx="3">
                  <c:v>50.300000000000004</c:v>
                </c:pt>
                <c:pt idx="4">
                  <c:v>46.800000000000004</c:v>
                </c:pt>
              </c:numCache>
            </c:numRef>
          </c:val>
        </c:ser>
        <c:ser>
          <c:idx val="1"/>
          <c:order val="1"/>
          <c:tx>
            <c:strRef>
              <c:f>'Sectoral employ by sex2'!$A$7</c:f>
              <c:strCache>
                <c:ptCount val="1"/>
                <c:pt idx="0">
                  <c:v>Mining and utilities</c:v>
                </c:pt>
              </c:strCache>
            </c:strRef>
          </c:tx>
          <c:spPr>
            <a:solidFill>
              <a:schemeClr val="tx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sex2'!$B$7:$F$7</c:f>
              <c:numCache>
                <c:formatCode>General</c:formatCode>
                <c:ptCount val="5"/>
                <c:pt idx="0">
                  <c:v>0.6</c:v>
                </c:pt>
                <c:pt idx="1">
                  <c:v>0.6</c:v>
                </c:pt>
                <c:pt idx="2">
                  <c:v>0.9</c:v>
                </c:pt>
                <c:pt idx="3">
                  <c:v>1.9000000000000004</c:v>
                </c:pt>
                <c:pt idx="4">
                  <c:v>2</c:v>
                </c:pt>
              </c:numCache>
            </c:numRef>
          </c:val>
        </c:ser>
        <c:ser>
          <c:idx val="2"/>
          <c:order val="2"/>
          <c:tx>
            <c:strRef>
              <c:f>'Sectoral employ by sex2'!$A$8</c:f>
              <c:strCache>
                <c:ptCount val="1"/>
                <c:pt idx="0">
                  <c:v>Manufacturing</c:v>
                </c:pt>
              </c:strCache>
            </c:strRef>
          </c:tx>
          <c:spPr>
            <a:solidFill>
              <a:schemeClr val="accent4"/>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sex2'!$B$8:$F$8</c:f>
              <c:numCache>
                <c:formatCode>General</c:formatCode>
                <c:ptCount val="5"/>
                <c:pt idx="0">
                  <c:v>10.9</c:v>
                </c:pt>
                <c:pt idx="1">
                  <c:v>10.4</c:v>
                </c:pt>
                <c:pt idx="2">
                  <c:v>7.5</c:v>
                </c:pt>
                <c:pt idx="3">
                  <c:v>4.9000000000000004</c:v>
                </c:pt>
                <c:pt idx="4">
                  <c:v>5.7</c:v>
                </c:pt>
              </c:numCache>
            </c:numRef>
          </c:val>
        </c:ser>
        <c:ser>
          <c:idx val="3"/>
          <c:order val="3"/>
          <c:tx>
            <c:strRef>
              <c:f>'Sectoral employ by sex2'!$A$9</c:f>
              <c:strCache>
                <c:ptCount val="1"/>
                <c:pt idx="0">
                  <c:v>Construction</c:v>
                </c:pt>
              </c:strCache>
            </c:strRef>
          </c:tx>
          <c:spPr>
            <a:solidFill>
              <a:schemeClr val="accent5">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sex2'!$B$9:$F$9</c:f>
              <c:numCache>
                <c:formatCode>General</c:formatCode>
                <c:ptCount val="5"/>
                <c:pt idx="0">
                  <c:v>1.6</c:v>
                </c:pt>
                <c:pt idx="1">
                  <c:v>1.8</c:v>
                </c:pt>
                <c:pt idx="2">
                  <c:v>2.3000000000000003</c:v>
                </c:pt>
                <c:pt idx="3">
                  <c:v>2.7</c:v>
                </c:pt>
                <c:pt idx="4">
                  <c:v>2.8000000000000003</c:v>
                </c:pt>
              </c:numCache>
            </c:numRef>
          </c:val>
        </c:ser>
        <c:ser>
          <c:idx val="4"/>
          <c:order val="4"/>
          <c:tx>
            <c:strRef>
              <c:f>'Sectoral employ by sex2'!$A$10</c:f>
              <c:strCache>
                <c:ptCount val="1"/>
                <c:pt idx="0">
                  <c:v>Wholesale, retail, hotels</c:v>
                </c:pt>
              </c:strCache>
            </c:strRef>
          </c:tx>
          <c:spPr>
            <a:solidFill>
              <a:schemeClr val="accent2"/>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sex2'!$B$10:$F$10</c:f>
              <c:numCache>
                <c:formatCode>General</c:formatCode>
                <c:ptCount val="5"/>
                <c:pt idx="0">
                  <c:v>15.4</c:v>
                </c:pt>
                <c:pt idx="1">
                  <c:v>15.1</c:v>
                </c:pt>
                <c:pt idx="2">
                  <c:v>13.3</c:v>
                </c:pt>
                <c:pt idx="3">
                  <c:v>14.500000000000002</c:v>
                </c:pt>
                <c:pt idx="4">
                  <c:v>15.000000000000002</c:v>
                </c:pt>
              </c:numCache>
            </c:numRef>
          </c:val>
        </c:ser>
        <c:ser>
          <c:idx val="5"/>
          <c:order val="5"/>
          <c:tx>
            <c:strRef>
              <c:f>'Sectoral employ by sex2'!$A$11</c:f>
              <c:strCache>
                <c:ptCount val="1"/>
                <c:pt idx="0">
                  <c:v>Transport, storage, comms</c:v>
                </c:pt>
              </c:strCache>
            </c:strRef>
          </c:tx>
          <c:spPr>
            <a:solidFill>
              <a:schemeClr val="bg1">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sex2'!$B$11:$F$11</c:f>
              <c:numCache>
                <c:formatCode>General</c:formatCode>
                <c:ptCount val="5"/>
                <c:pt idx="0">
                  <c:v>2.9000000000000004</c:v>
                </c:pt>
                <c:pt idx="1">
                  <c:v>3.4000000000000004</c:v>
                </c:pt>
                <c:pt idx="2">
                  <c:v>4.7</c:v>
                </c:pt>
                <c:pt idx="3">
                  <c:v>6.1000000000000005</c:v>
                </c:pt>
                <c:pt idx="4">
                  <c:v>6.5</c:v>
                </c:pt>
              </c:numCache>
            </c:numRef>
          </c:val>
        </c:ser>
        <c:ser>
          <c:idx val="6"/>
          <c:order val="6"/>
          <c:tx>
            <c:strRef>
              <c:f>'Sectoral employ by sex2'!$A$12</c:f>
              <c:strCache>
                <c:ptCount val="1"/>
                <c:pt idx="0">
                  <c:v>Other</c:v>
                </c:pt>
              </c:strCache>
            </c:strRef>
          </c:tx>
          <c:spPr>
            <a:solidFill>
              <a:schemeClr val="accent5"/>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sex2'!$B$12:$F$12</c:f>
              <c:numCache>
                <c:formatCode>General</c:formatCode>
                <c:ptCount val="5"/>
                <c:pt idx="0">
                  <c:v>13.9</c:v>
                </c:pt>
                <c:pt idx="1">
                  <c:v>15</c:v>
                </c:pt>
                <c:pt idx="2">
                  <c:v>18.3</c:v>
                </c:pt>
                <c:pt idx="3">
                  <c:v>19.600000000000001</c:v>
                </c:pt>
                <c:pt idx="4">
                  <c:v>21.3</c:v>
                </c:pt>
              </c:numCache>
            </c:numRef>
          </c:val>
        </c:ser>
        <c:dLbls>
          <c:showLegendKey val="0"/>
          <c:showVal val="0"/>
          <c:showCatName val="0"/>
          <c:showSerName val="0"/>
          <c:showPercent val="0"/>
          <c:showBubbleSize val="0"/>
        </c:dLbls>
        <c:gapWidth val="150"/>
        <c:overlap val="100"/>
        <c:axId val="595046784"/>
        <c:axId val="595048320"/>
      </c:barChart>
      <c:catAx>
        <c:axId val="595046784"/>
        <c:scaling>
          <c:orientation val="minMax"/>
        </c:scaling>
        <c:delete val="0"/>
        <c:axPos val="b"/>
        <c:numFmt formatCode="General" sourceLinked="1"/>
        <c:majorTickMark val="out"/>
        <c:minorTickMark val="none"/>
        <c:tickLblPos val="nextTo"/>
        <c:crossAx val="595048320"/>
        <c:crosses val="autoZero"/>
        <c:auto val="1"/>
        <c:lblAlgn val="ctr"/>
        <c:lblOffset val="100"/>
        <c:noMultiLvlLbl val="0"/>
      </c:catAx>
      <c:valAx>
        <c:axId val="595048320"/>
        <c:scaling>
          <c:orientation val="minMax"/>
          <c:max val="1"/>
          <c:min val="0"/>
        </c:scaling>
        <c:delete val="0"/>
        <c:axPos val="l"/>
        <c:majorGridlines/>
        <c:numFmt formatCode="0%" sourceLinked="1"/>
        <c:majorTickMark val="out"/>
        <c:minorTickMark val="none"/>
        <c:tickLblPos val="nextTo"/>
        <c:crossAx val="59504678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sex2'!$A$6</c:f>
              <c:strCache>
                <c:ptCount val="1"/>
                <c:pt idx="0">
                  <c:v>Agriculture</c:v>
                </c:pt>
              </c:strCache>
            </c:strRef>
          </c:tx>
          <c:spPr>
            <a:solidFill>
              <a:schemeClr val="accent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sex2'!$G$6:$K$6</c:f>
              <c:numCache>
                <c:formatCode>General</c:formatCode>
                <c:ptCount val="5"/>
                <c:pt idx="0">
                  <c:v>41.300000000000004</c:v>
                </c:pt>
                <c:pt idx="1">
                  <c:v>41.300000000000004</c:v>
                </c:pt>
                <c:pt idx="2">
                  <c:v>39.5</c:v>
                </c:pt>
                <c:pt idx="3">
                  <c:v>34.6</c:v>
                </c:pt>
                <c:pt idx="4">
                  <c:v>31</c:v>
                </c:pt>
              </c:numCache>
            </c:numRef>
          </c:val>
        </c:ser>
        <c:ser>
          <c:idx val="1"/>
          <c:order val="1"/>
          <c:tx>
            <c:strRef>
              <c:f>'Sectoral employ by sex2'!$A$7</c:f>
              <c:strCache>
                <c:ptCount val="1"/>
                <c:pt idx="0">
                  <c:v>Mining and utilities</c:v>
                </c:pt>
              </c:strCache>
            </c:strRef>
          </c:tx>
          <c:spPr>
            <a:solidFill>
              <a:schemeClr val="tx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sex2'!$G$7:$K$7</c:f>
              <c:numCache>
                <c:formatCode>General</c:formatCode>
                <c:ptCount val="5"/>
                <c:pt idx="0">
                  <c:v>0.2</c:v>
                </c:pt>
                <c:pt idx="1">
                  <c:v>0.2</c:v>
                </c:pt>
                <c:pt idx="2">
                  <c:v>0.2</c:v>
                </c:pt>
                <c:pt idx="3">
                  <c:v>0.7</c:v>
                </c:pt>
                <c:pt idx="4">
                  <c:v>0.7</c:v>
                </c:pt>
              </c:numCache>
            </c:numRef>
          </c:val>
        </c:ser>
        <c:ser>
          <c:idx val="2"/>
          <c:order val="2"/>
          <c:tx>
            <c:strRef>
              <c:f>'Sectoral employ by sex2'!$A$8</c:f>
              <c:strCache>
                <c:ptCount val="1"/>
                <c:pt idx="0">
                  <c:v>Manufacturing</c:v>
                </c:pt>
              </c:strCache>
            </c:strRef>
          </c:tx>
          <c:spPr>
            <a:solidFill>
              <a:schemeClr val="accent4"/>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sex2'!$G$8:$K$8</c:f>
              <c:numCache>
                <c:formatCode>General</c:formatCode>
                <c:ptCount val="5"/>
                <c:pt idx="0">
                  <c:v>14.9</c:v>
                </c:pt>
                <c:pt idx="1">
                  <c:v>13</c:v>
                </c:pt>
                <c:pt idx="2">
                  <c:v>9.2000000000000011</c:v>
                </c:pt>
                <c:pt idx="3">
                  <c:v>8.8000000000000007</c:v>
                </c:pt>
                <c:pt idx="4">
                  <c:v>9.5</c:v>
                </c:pt>
              </c:numCache>
            </c:numRef>
          </c:val>
        </c:ser>
        <c:ser>
          <c:idx val="3"/>
          <c:order val="3"/>
          <c:tx>
            <c:strRef>
              <c:f>'Sectoral employ by sex2'!$A$9</c:f>
              <c:strCache>
                <c:ptCount val="1"/>
                <c:pt idx="0">
                  <c:v>Construction</c:v>
                </c:pt>
              </c:strCache>
            </c:strRef>
          </c:tx>
          <c:spPr>
            <a:solidFill>
              <a:schemeClr val="accent5">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sex2'!$G$9:$K$9</c:f>
              <c:numCache>
                <c:formatCode>General</c:formatCode>
                <c:ptCount val="5"/>
                <c:pt idx="0">
                  <c:v>0.30000000000000004</c:v>
                </c:pt>
                <c:pt idx="1">
                  <c:v>0.30000000000000004</c:v>
                </c:pt>
                <c:pt idx="2">
                  <c:v>0.30000000000000004</c:v>
                </c:pt>
                <c:pt idx="3">
                  <c:v>0.2</c:v>
                </c:pt>
                <c:pt idx="4">
                  <c:v>0.2</c:v>
                </c:pt>
              </c:numCache>
            </c:numRef>
          </c:val>
        </c:ser>
        <c:ser>
          <c:idx val="4"/>
          <c:order val="4"/>
          <c:tx>
            <c:strRef>
              <c:f>'Sectoral employ by sex2'!$A$10</c:f>
              <c:strCache>
                <c:ptCount val="1"/>
                <c:pt idx="0">
                  <c:v>Wholesale, retail, hotels</c:v>
                </c:pt>
              </c:strCache>
            </c:strRef>
          </c:tx>
          <c:spPr>
            <a:solidFill>
              <a:schemeClr val="accent2"/>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sex2'!$G$10:$K$10</c:f>
              <c:numCache>
                <c:formatCode>General</c:formatCode>
                <c:ptCount val="5"/>
                <c:pt idx="0">
                  <c:v>29.500000000000004</c:v>
                </c:pt>
                <c:pt idx="1">
                  <c:v>30.7</c:v>
                </c:pt>
                <c:pt idx="2">
                  <c:v>34.799999999999997</c:v>
                </c:pt>
                <c:pt idx="3">
                  <c:v>35.5</c:v>
                </c:pt>
                <c:pt idx="4">
                  <c:v>37.400000000000006</c:v>
                </c:pt>
              </c:numCache>
            </c:numRef>
          </c:val>
        </c:ser>
        <c:ser>
          <c:idx val="5"/>
          <c:order val="5"/>
          <c:tx>
            <c:strRef>
              <c:f>'Sectoral employ by sex2'!$A$11</c:f>
              <c:strCache>
                <c:ptCount val="1"/>
                <c:pt idx="0">
                  <c:v>Transport, storage, comms</c:v>
                </c:pt>
              </c:strCache>
            </c:strRef>
          </c:tx>
          <c:spPr>
            <a:solidFill>
              <a:schemeClr val="bg1">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sex2'!$G$11:$K$11</c:f>
              <c:numCache>
                <c:formatCode>General</c:formatCode>
                <c:ptCount val="5"/>
                <c:pt idx="0">
                  <c:v>0.60000000000000009</c:v>
                </c:pt>
                <c:pt idx="1">
                  <c:v>0.70000000000000007</c:v>
                </c:pt>
                <c:pt idx="2">
                  <c:v>0.70000000000000007</c:v>
                </c:pt>
                <c:pt idx="3">
                  <c:v>0.60000000000000009</c:v>
                </c:pt>
                <c:pt idx="4">
                  <c:v>0.70000000000000007</c:v>
                </c:pt>
              </c:numCache>
            </c:numRef>
          </c:val>
        </c:ser>
        <c:ser>
          <c:idx val="6"/>
          <c:order val="6"/>
          <c:tx>
            <c:strRef>
              <c:f>'Sectoral employ by sex2'!$A$12</c:f>
              <c:strCache>
                <c:ptCount val="1"/>
                <c:pt idx="0">
                  <c:v>Other</c:v>
                </c:pt>
              </c:strCache>
            </c:strRef>
          </c:tx>
          <c:spPr>
            <a:solidFill>
              <a:schemeClr val="accent5"/>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sex2'!$G$12:$K$12</c:f>
              <c:numCache>
                <c:formatCode>General</c:formatCode>
                <c:ptCount val="5"/>
                <c:pt idx="0">
                  <c:v>13.400000000000002</c:v>
                </c:pt>
                <c:pt idx="1">
                  <c:v>13.8</c:v>
                </c:pt>
                <c:pt idx="2">
                  <c:v>15.2</c:v>
                </c:pt>
                <c:pt idx="3">
                  <c:v>19.700000000000003</c:v>
                </c:pt>
                <c:pt idx="4">
                  <c:v>20.700000000000003</c:v>
                </c:pt>
              </c:numCache>
            </c:numRef>
          </c:val>
        </c:ser>
        <c:dLbls>
          <c:showLegendKey val="0"/>
          <c:showVal val="0"/>
          <c:showCatName val="0"/>
          <c:showSerName val="0"/>
          <c:showPercent val="0"/>
          <c:showBubbleSize val="0"/>
        </c:dLbls>
        <c:gapWidth val="150"/>
        <c:overlap val="100"/>
        <c:axId val="596404864"/>
        <c:axId val="596427136"/>
      </c:barChart>
      <c:catAx>
        <c:axId val="596404864"/>
        <c:scaling>
          <c:orientation val="minMax"/>
        </c:scaling>
        <c:delete val="0"/>
        <c:axPos val="b"/>
        <c:numFmt formatCode="General" sourceLinked="1"/>
        <c:majorTickMark val="out"/>
        <c:minorTickMark val="none"/>
        <c:tickLblPos val="nextTo"/>
        <c:crossAx val="596427136"/>
        <c:crosses val="autoZero"/>
        <c:auto val="1"/>
        <c:lblAlgn val="ctr"/>
        <c:lblOffset val="100"/>
        <c:noMultiLvlLbl val="0"/>
      </c:catAx>
      <c:valAx>
        <c:axId val="596427136"/>
        <c:scaling>
          <c:orientation val="minMax"/>
          <c:max val="1"/>
          <c:min val="0"/>
        </c:scaling>
        <c:delete val="1"/>
        <c:axPos val="l"/>
        <c:majorGridlines/>
        <c:numFmt formatCode="0%" sourceLinked="1"/>
        <c:majorTickMark val="out"/>
        <c:minorTickMark val="none"/>
        <c:tickLblPos val="nextTo"/>
        <c:crossAx val="59640486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49.449234008789063</c:v>
                </c:pt>
                <c:pt idx="1">
                  <c:v>52.175685882568359</c:v>
                </c:pt>
                <c:pt idx="2">
                  <c:v>49.724945068359375</c:v>
                </c:pt>
                <c:pt idx="3">
                  <c:v>46.776668548583984</c:v>
                </c:pt>
                <c:pt idx="4">
                  <c:v>45.45745849609375</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13.650976181030273</c:v>
                </c:pt>
                <c:pt idx="1">
                  <c:v>11.522912979125977</c:v>
                </c:pt>
                <c:pt idx="2">
                  <c:v>11.825096130371094</c:v>
                </c:pt>
                <c:pt idx="3">
                  <c:v>12.485562324523926</c:v>
                </c:pt>
                <c:pt idx="4">
                  <c:v>12.695083618164063</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36.899787902832031</c:v>
                </c:pt>
                <c:pt idx="1">
                  <c:v>36.301399230957031</c:v>
                </c:pt>
                <c:pt idx="2">
                  <c:v>38.449951171875</c:v>
                </c:pt>
                <c:pt idx="3">
                  <c:v>40.737762451171875</c:v>
                </c:pt>
                <c:pt idx="4">
                  <c:v>41.847454071044922</c:v>
                </c:pt>
              </c:numCache>
            </c:numRef>
          </c:val>
        </c:ser>
        <c:dLbls>
          <c:showLegendKey val="0"/>
          <c:showVal val="0"/>
          <c:showCatName val="0"/>
          <c:showSerName val="0"/>
          <c:showPercent val="0"/>
          <c:showBubbleSize val="0"/>
        </c:dLbls>
        <c:gapWidth val="150"/>
        <c:overlap val="100"/>
        <c:axId val="374473856"/>
        <c:axId val="374475392"/>
      </c:barChart>
      <c:catAx>
        <c:axId val="374473856"/>
        <c:scaling>
          <c:orientation val="minMax"/>
        </c:scaling>
        <c:delete val="0"/>
        <c:axPos val="b"/>
        <c:numFmt formatCode="0" sourceLinked="1"/>
        <c:majorTickMark val="out"/>
        <c:minorTickMark val="none"/>
        <c:tickLblPos val="nextTo"/>
        <c:crossAx val="374475392"/>
        <c:crosses val="autoZero"/>
        <c:auto val="1"/>
        <c:lblAlgn val="ctr"/>
        <c:lblOffset val="100"/>
        <c:noMultiLvlLbl val="0"/>
      </c:catAx>
      <c:valAx>
        <c:axId val="374475392"/>
        <c:scaling>
          <c:orientation val="minMax"/>
        </c:scaling>
        <c:delete val="0"/>
        <c:axPos val="l"/>
        <c:majorGridlines/>
        <c:title>
          <c:tx>
            <c:rich>
              <a:bodyPr rot="-5400000" vert="horz"/>
              <a:lstStyle/>
              <a:p>
                <a:pPr>
                  <a:defRPr b="0"/>
                </a:pPr>
                <a:r>
                  <a:rPr lang="en-US" b="0"/>
                  <a:t>Percent of workforce</a:t>
                </a:r>
              </a:p>
            </c:rich>
          </c:tx>
          <c:layout/>
          <c:overlay val="0"/>
        </c:title>
        <c:numFmt formatCode="0%" sourceLinked="1"/>
        <c:majorTickMark val="out"/>
        <c:minorTickMark val="none"/>
        <c:tickLblPos val="nextTo"/>
        <c:crossAx val="37447385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44.925323486328125</c:v>
                </c:pt>
                <c:pt idx="1">
                  <c:v>42.947479248046875</c:v>
                </c:pt>
                <c:pt idx="2">
                  <c:v>39.078357696533203</c:v>
                </c:pt>
                <c:pt idx="3">
                  <c:v>34.992546081542969</c:v>
                </c:pt>
                <c:pt idx="4">
                  <c:v>33.465396881103516</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15.034738540649414</c:v>
                </c:pt>
                <c:pt idx="1">
                  <c:v>11.393003463745117</c:v>
                </c:pt>
                <c:pt idx="2">
                  <c:v>11.304802894592285</c:v>
                </c:pt>
                <c:pt idx="3">
                  <c:v>11.518299102783203</c:v>
                </c:pt>
                <c:pt idx="4">
                  <c:v>11.638816833496094</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40.039932250976562</c:v>
                </c:pt>
                <c:pt idx="1">
                  <c:v>45.659511566162109</c:v>
                </c:pt>
                <c:pt idx="2">
                  <c:v>49.616836547851563</c:v>
                </c:pt>
                <c:pt idx="3">
                  <c:v>53.489154815673828</c:v>
                </c:pt>
                <c:pt idx="4">
                  <c:v>54.895786285400391</c:v>
                </c:pt>
              </c:numCache>
            </c:numRef>
          </c:val>
        </c:ser>
        <c:dLbls>
          <c:showLegendKey val="0"/>
          <c:showVal val="0"/>
          <c:showCatName val="0"/>
          <c:showSerName val="0"/>
          <c:showPercent val="0"/>
          <c:showBubbleSize val="0"/>
        </c:dLbls>
        <c:gapWidth val="150"/>
        <c:overlap val="100"/>
        <c:axId val="374497664"/>
        <c:axId val="374499200"/>
      </c:barChart>
      <c:catAx>
        <c:axId val="374497664"/>
        <c:scaling>
          <c:orientation val="minMax"/>
        </c:scaling>
        <c:delete val="0"/>
        <c:axPos val="b"/>
        <c:numFmt formatCode="0" sourceLinked="1"/>
        <c:majorTickMark val="out"/>
        <c:minorTickMark val="none"/>
        <c:tickLblPos val="nextTo"/>
        <c:crossAx val="374499200"/>
        <c:crosses val="autoZero"/>
        <c:auto val="1"/>
        <c:lblAlgn val="ctr"/>
        <c:lblOffset val="100"/>
        <c:noMultiLvlLbl val="0"/>
      </c:catAx>
      <c:valAx>
        <c:axId val="374499200"/>
        <c:scaling>
          <c:orientation val="minMax"/>
        </c:scaling>
        <c:delete val="1"/>
        <c:axPos val="l"/>
        <c:majorGridlines/>
        <c:numFmt formatCode="0%" sourceLinked="1"/>
        <c:majorTickMark val="out"/>
        <c:minorTickMark val="none"/>
        <c:tickLblPos val="nextTo"/>
        <c:crossAx val="37449766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'Agriculture (DHS)'!$A$5</c:f>
              <c:strCache>
                <c:ptCount val="1"/>
                <c:pt idx="0">
                  <c:v>Female</c:v>
                </c:pt>
              </c:strCache>
            </c:strRef>
          </c:tx>
          <c:invertIfNegative val="0"/>
          <c:cat>
            <c:strRef>
              <c:f>'Agriculture (DHS)'!$B$4:$D$4</c:f>
              <c:strCache>
                <c:ptCount val="3"/>
                <c:pt idx="0">
                  <c:v>1990s</c:v>
                </c:pt>
                <c:pt idx="1">
                  <c:v>2000-05</c:v>
                </c:pt>
                <c:pt idx="2">
                  <c:v>2006-12</c:v>
                </c:pt>
              </c:strCache>
            </c:strRef>
          </c:cat>
          <c:val>
            <c:numRef>
              <c:f>'Agriculture (DHS)'!$B$5:$D$5</c:f>
              <c:numCache>
                <c:formatCode>General</c:formatCode>
                <c:ptCount val="3"/>
                <c:pt idx="0">
                  <c:v>21.7</c:v>
                </c:pt>
                <c:pt idx="1">
                  <c:v>20.8</c:v>
                </c:pt>
                <c:pt idx="2">
                  <c:v>24</c:v>
                </c:pt>
              </c:numCache>
            </c:numRef>
          </c:val>
        </c:ser>
        <c:ser>
          <c:idx val="1"/>
          <c:order val="1"/>
          <c:tx>
            <c:strRef>
              <c:f>'Agriculture (DHS)'!$A$6</c:f>
              <c:strCache>
                <c:ptCount val="1"/>
                <c:pt idx="0">
                  <c:v>Male</c:v>
                </c:pt>
              </c:strCache>
            </c:strRef>
          </c:tx>
          <c:spPr>
            <a:solidFill>
              <a:schemeClr val="accent3"/>
            </a:solidFill>
          </c:spPr>
          <c:invertIfNegative val="0"/>
          <c:cat>
            <c:strRef>
              <c:f>'Agriculture (DHS)'!$B$4:$D$4</c:f>
              <c:strCache>
                <c:ptCount val="3"/>
                <c:pt idx="0">
                  <c:v>1990s</c:v>
                </c:pt>
                <c:pt idx="1">
                  <c:v>2000-05</c:v>
                </c:pt>
                <c:pt idx="2">
                  <c:v>2006-12</c:v>
                </c:pt>
              </c:strCache>
            </c:strRef>
          </c:cat>
          <c:val>
            <c:numRef>
              <c:f>'Agriculture (DHS)'!$B$6:$D$6</c:f>
              <c:numCache>
                <c:formatCode>General</c:formatCode>
                <c:ptCount val="3"/>
                <c:pt idx="0">
                  <c:v>43.2</c:v>
                </c:pt>
                <c:pt idx="1">
                  <c:v>39.200000000000003</c:v>
                </c:pt>
                <c:pt idx="2">
                  <c:v>39.9</c:v>
                </c:pt>
              </c:numCache>
            </c:numRef>
          </c:val>
        </c:ser>
        <c:ser>
          <c:idx val="2"/>
          <c:order val="2"/>
          <c:tx>
            <c:strRef>
              <c:f>'Agriculture (DHS)'!$A$7</c:f>
              <c:strCache>
                <c:ptCount val="1"/>
                <c:pt idx="0">
                  <c:v>Combined</c:v>
                </c:pt>
              </c:strCache>
            </c:strRef>
          </c:tx>
          <c:spPr>
            <a:solidFill>
              <a:schemeClr val="accent5"/>
            </a:solidFill>
          </c:spPr>
          <c:invertIfNegative val="0"/>
          <c:cat>
            <c:strRef>
              <c:f>'Agriculture (DHS)'!$B$4:$D$4</c:f>
              <c:strCache>
                <c:ptCount val="3"/>
                <c:pt idx="0">
                  <c:v>1990s</c:v>
                </c:pt>
                <c:pt idx="1">
                  <c:v>2000-05</c:v>
                </c:pt>
                <c:pt idx="2">
                  <c:v>2006-12</c:v>
                </c:pt>
              </c:strCache>
            </c:strRef>
          </c:cat>
          <c:val>
            <c:numRef>
              <c:f>'Agriculture (DHS)'!$B$7:$D$7</c:f>
              <c:numCache>
                <c:formatCode>General</c:formatCode>
                <c:ptCount val="3"/>
                <c:pt idx="0">
                  <c:v>32.5</c:v>
                </c:pt>
                <c:pt idx="1">
                  <c:v>30</c:v>
                </c:pt>
                <c:pt idx="2">
                  <c:v>32</c:v>
                </c:pt>
              </c:numCache>
            </c:numRef>
          </c:val>
        </c:ser>
        <c:dLbls>
          <c:showLegendKey val="0"/>
          <c:showVal val="0"/>
          <c:showCatName val="0"/>
          <c:showSerName val="0"/>
          <c:showPercent val="0"/>
          <c:showBubbleSize val="0"/>
        </c:dLbls>
        <c:gapWidth val="150"/>
        <c:axId val="374521856"/>
        <c:axId val="374523392"/>
      </c:barChart>
      <c:catAx>
        <c:axId val="374521856"/>
        <c:scaling>
          <c:orientation val="minMax"/>
        </c:scaling>
        <c:delete val="0"/>
        <c:axPos val="b"/>
        <c:majorTickMark val="out"/>
        <c:minorTickMark val="none"/>
        <c:tickLblPos val="nextTo"/>
        <c:crossAx val="374523392"/>
        <c:crosses val="autoZero"/>
        <c:auto val="1"/>
        <c:lblAlgn val="ctr"/>
        <c:lblOffset val="100"/>
        <c:noMultiLvlLbl val="0"/>
      </c:catAx>
      <c:valAx>
        <c:axId val="374523392"/>
        <c:scaling>
          <c:orientation val="minMax"/>
        </c:scaling>
        <c:delete val="0"/>
        <c:axPos val="l"/>
        <c:majorGridlines/>
        <c:numFmt formatCode="General" sourceLinked="1"/>
        <c:majorTickMark val="out"/>
        <c:minorTickMark val="none"/>
        <c:tickLblPos val="nextTo"/>
        <c:crossAx val="37452185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'Wages (ILO)'!$K$9</c:f>
              <c:strCache>
                <c:ptCount val="1"/>
                <c:pt idx="0">
                  <c:v>Plantation supervisor</c:v>
                </c:pt>
              </c:strCache>
            </c:strRef>
          </c:tx>
          <c:marker>
            <c:symbol val="none"/>
          </c:marker>
          <c:cat>
            <c:numRef>
              <c:f>'Wages (ILO)'!$L$8:$O$8</c:f>
              <c:numCache>
                <c:formatCode>General</c:formatCode>
                <c:ptCount val="4"/>
                <c:pt idx="0">
                  <c:v>1985</c:v>
                </c:pt>
                <c:pt idx="1">
                  <c:v>1993</c:v>
                </c:pt>
                <c:pt idx="2">
                  <c:v>1994</c:v>
                </c:pt>
                <c:pt idx="3">
                  <c:v>1995</c:v>
                </c:pt>
              </c:numCache>
            </c:numRef>
          </c:cat>
          <c:val>
            <c:numRef>
              <c:f>'Wages (ILO)'!$L$9:$O$9</c:f>
              <c:numCache>
                <c:formatCode>0.00000</c:formatCode>
                <c:ptCount val="4"/>
                <c:pt idx="0">
                  <c:v>1.0296296296296297</c:v>
                </c:pt>
                <c:pt idx="1">
                  <c:v>0.38271604938271603</c:v>
                </c:pt>
                <c:pt idx="2">
                  <c:v>0.46236559139784944</c:v>
                </c:pt>
                <c:pt idx="3">
                  <c:v>0.67567567567567566</c:v>
                </c:pt>
              </c:numCache>
            </c:numRef>
          </c:val>
          <c:smooth val="0"/>
        </c:ser>
        <c:ser>
          <c:idx val="1"/>
          <c:order val="1"/>
          <c:tx>
            <c:strRef>
              <c:f>'Wages (ILO)'!$K$10</c:f>
              <c:strCache>
                <c:ptCount val="1"/>
                <c:pt idx="0">
                  <c:v>Labourer</c:v>
                </c:pt>
              </c:strCache>
            </c:strRef>
          </c:tx>
          <c:marker>
            <c:symbol val="none"/>
          </c:marker>
          <c:cat>
            <c:numRef>
              <c:f>'Wages (ILO)'!$L$8:$O$8</c:f>
              <c:numCache>
                <c:formatCode>General</c:formatCode>
                <c:ptCount val="4"/>
                <c:pt idx="0">
                  <c:v>1985</c:v>
                </c:pt>
                <c:pt idx="1">
                  <c:v>1993</c:v>
                </c:pt>
                <c:pt idx="2">
                  <c:v>1994</c:v>
                </c:pt>
                <c:pt idx="3">
                  <c:v>1995</c:v>
                </c:pt>
              </c:numCache>
            </c:numRef>
          </c:cat>
          <c:val>
            <c:numRef>
              <c:f>'Wages (ILO)'!$L$10:$O$10</c:f>
              <c:numCache>
                <c:formatCode>0.00000</c:formatCode>
                <c:ptCount val="4"/>
                <c:pt idx="0">
                  <c:v>0.44444444444444442</c:v>
                </c:pt>
                <c:pt idx="1">
                  <c:v>0.43209876543209874</c:v>
                </c:pt>
                <c:pt idx="2">
                  <c:v>0.58064516129032262</c:v>
                </c:pt>
              </c:numCache>
            </c:numRef>
          </c:val>
          <c:smooth val="0"/>
        </c:ser>
        <c:ser>
          <c:idx val="2"/>
          <c:order val="2"/>
          <c:tx>
            <c:strRef>
              <c:f>'Wages (ILO)'!$K$11</c:f>
              <c:strCache>
                <c:ptCount val="1"/>
                <c:pt idx="0">
                  <c:v>Computer programmer</c:v>
                </c:pt>
              </c:strCache>
            </c:strRef>
          </c:tx>
          <c:spPr>
            <a:ln>
              <a:solidFill>
                <a:schemeClr val="accent4"/>
              </a:solidFill>
            </a:ln>
          </c:spPr>
          <c:marker>
            <c:symbol val="none"/>
          </c:marker>
          <c:cat>
            <c:numRef>
              <c:f>'Wages (ILO)'!$L$8:$O$8</c:f>
              <c:numCache>
                <c:formatCode>General</c:formatCode>
                <c:ptCount val="4"/>
                <c:pt idx="0">
                  <c:v>1985</c:v>
                </c:pt>
                <c:pt idx="1">
                  <c:v>1993</c:v>
                </c:pt>
                <c:pt idx="2">
                  <c:v>1994</c:v>
                </c:pt>
                <c:pt idx="3">
                  <c:v>1995</c:v>
                </c:pt>
              </c:numCache>
            </c:numRef>
          </c:cat>
          <c:val>
            <c:numRef>
              <c:f>'Wages (ILO)'!$L$11:$O$11</c:f>
              <c:numCache>
                <c:formatCode>0.00000</c:formatCode>
                <c:ptCount val="4"/>
                <c:pt idx="0">
                  <c:v>1.7370370370370369</c:v>
                </c:pt>
                <c:pt idx="1">
                  <c:v>3.5925925925925926</c:v>
                </c:pt>
                <c:pt idx="2">
                  <c:v>3.3870967741935485</c:v>
                </c:pt>
              </c:numCache>
            </c:numRef>
          </c:val>
          <c:smooth val="0"/>
        </c:ser>
        <c:ser>
          <c:idx val="3"/>
          <c:order val="3"/>
          <c:tx>
            <c:strRef>
              <c:f>'Wages (ILO)'!$K$12</c:f>
              <c:strCache>
                <c:ptCount val="1"/>
                <c:pt idx="0">
                  <c:v>Automobile mechanic</c:v>
                </c:pt>
              </c:strCache>
            </c:strRef>
          </c:tx>
          <c:spPr>
            <a:ln>
              <a:solidFill>
                <a:schemeClr val="accent5"/>
              </a:solidFill>
            </a:ln>
          </c:spPr>
          <c:marker>
            <c:symbol val="none"/>
          </c:marker>
          <c:cat>
            <c:numRef>
              <c:f>'Wages (ILO)'!$L$8:$O$8</c:f>
              <c:numCache>
                <c:formatCode>General</c:formatCode>
                <c:ptCount val="4"/>
                <c:pt idx="0">
                  <c:v>1985</c:v>
                </c:pt>
                <c:pt idx="1">
                  <c:v>1993</c:v>
                </c:pt>
                <c:pt idx="2">
                  <c:v>1994</c:v>
                </c:pt>
                <c:pt idx="3">
                  <c:v>1995</c:v>
                </c:pt>
              </c:numCache>
            </c:numRef>
          </c:cat>
          <c:val>
            <c:numRef>
              <c:f>'Wages (ILO)'!$L$12:$O$12</c:f>
              <c:numCache>
                <c:formatCode>0.00000</c:formatCode>
                <c:ptCount val="4"/>
                <c:pt idx="1">
                  <c:v>0.93827160493827155</c:v>
                </c:pt>
                <c:pt idx="2">
                  <c:v>0.91397849462365588</c:v>
                </c:pt>
                <c:pt idx="3">
                  <c:v>2.1711711711711712</c:v>
                </c:pt>
              </c:numCache>
            </c:numRef>
          </c:val>
          <c:smooth val="0"/>
        </c:ser>
        <c:dLbls>
          <c:showLegendKey val="0"/>
          <c:showVal val="0"/>
          <c:showCatName val="0"/>
          <c:showSerName val="0"/>
          <c:showPercent val="0"/>
          <c:showBubbleSize val="0"/>
        </c:dLbls>
        <c:marker val="1"/>
        <c:smooth val="0"/>
        <c:axId val="384070016"/>
        <c:axId val="384071552"/>
      </c:lineChart>
      <c:catAx>
        <c:axId val="384070016"/>
        <c:scaling>
          <c:orientation val="minMax"/>
        </c:scaling>
        <c:delete val="0"/>
        <c:axPos val="b"/>
        <c:numFmt formatCode="General" sourceLinked="1"/>
        <c:majorTickMark val="out"/>
        <c:minorTickMark val="none"/>
        <c:tickLblPos val="nextTo"/>
        <c:crossAx val="384071552"/>
        <c:crosses val="autoZero"/>
        <c:auto val="1"/>
        <c:lblAlgn val="ctr"/>
        <c:lblOffset val="100"/>
        <c:noMultiLvlLbl val="0"/>
      </c:catAx>
      <c:valAx>
        <c:axId val="384071552"/>
        <c:scaling>
          <c:orientation val="minMax"/>
        </c:scaling>
        <c:delete val="0"/>
        <c:axPos val="l"/>
        <c:majorGridlines/>
        <c:numFmt formatCode="0.0" sourceLinked="0"/>
        <c:majorTickMark val="out"/>
        <c:minorTickMark val="none"/>
        <c:tickLblPos val="nextTo"/>
        <c:crossAx val="38407001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 of prod change1'!$F$3</c:f>
              <c:strCache>
                <c:ptCount val="1"/>
                <c:pt idx="0">
                  <c:v>Within sector</c:v>
                </c:pt>
              </c:strCache>
            </c:strRef>
          </c:tx>
          <c:invertIfNegative val="0"/>
          <c:cat>
            <c:strRef>
              <c:f>'Decomp. of prod change1'!$E$4:$E$6</c:f>
              <c:strCache>
                <c:ptCount val="3"/>
                <c:pt idx="0">
                  <c:v>1990-2000</c:v>
                </c:pt>
                <c:pt idx="1">
                  <c:v>2000-05</c:v>
                </c:pt>
                <c:pt idx="2">
                  <c:v>2005-10</c:v>
                </c:pt>
              </c:strCache>
            </c:strRef>
          </c:cat>
          <c:val>
            <c:numRef>
              <c:f>'Decomp. of prod change1'!$F$4:$F$6</c:f>
              <c:numCache>
                <c:formatCode>0.00%</c:formatCode>
                <c:ptCount val="3"/>
                <c:pt idx="0">
                  <c:v>2.3536781090376456E-2</c:v>
                </c:pt>
                <c:pt idx="1">
                  <c:v>3.5866606353847266E-2</c:v>
                </c:pt>
                <c:pt idx="2">
                  <c:v>4.3037615347834839E-2</c:v>
                </c:pt>
              </c:numCache>
            </c:numRef>
          </c:val>
        </c:ser>
        <c:ser>
          <c:idx val="1"/>
          <c:order val="1"/>
          <c:tx>
            <c:strRef>
              <c:f>'Decomp. of prod change1'!$G$3</c:f>
              <c:strCache>
                <c:ptCount val="1"/>
                <c:pt idx="0">
                  <c:v>Structural change</c:v>
                </c:pt>
              </c:strCache>
            </c:strRef>
          </c:tx>
          <c:spPr>
            <a:solidFill>
              <a:schemeClr val="accent6"/>
            </a:solidFill>
          </c:spPr>
          <c:invertIfNegative val="0"/>
          <c:cat>
            <c:strRef>
              <c:f>'Decomp. of prod change1'!$E$4:$E$6</c:f>
              <c:strCache>
                <c:ptCount val="3"/>
                <c:pt idx="0">
                  <c:v>1990-2000</c:v>
                </c:pt>
                <c:pt idx="1">
                  <c:v>2000-05</c:v>
                </c:pt>
                <c:pt idx="2">
                  <c:v>2005-10</c:v>
                </c:pt>
              </c:strCache>
            </c:strRef>
          </c:cat>
          <c:val>
            <c:numRef>
              <c:f>'Decomp. of prod change1'!$G$4:$G$6</c:f>
              <c:numCache>
                <c:formatCode>0.00%</c:formatCode>
                <c:ptCount val="3"/>
                <c:pt idx="0">
                  <c:v>-1.5271579704544479E-2</c:v>
                </c:pt>
                <c:pt idx="1">
                  <c:v>-6.4455836383618542E-3</c:v>
                </c:pt>
                <c:pt idx="2">
                  <c:v>-3.3615140747712262E-2</c:v>
                </c:pt>
              </c:numCache>
            </c:numRef>
          </c:val>
        </c:ser>
        <c:dLbls>
          <c:showLegendKey val="0"/>
          <c:showVal val="0"/>
          <c:showCatName val="0"/>
          <c:showSerName val="0"/>
          <c:showPercent val="0"/>
          <c:showBubbleSize val="0"/>
        </c:dLbls>
        <c:gapWidth val="150"/>
        <c:overlap val="100"/>
        <c:axId val="412553984"/>
        <c:axId val="412555520"/>
      </c:barChart>
      <c:catAx>
        <c:axId val="412553984"/>
        <c:scaling>
          <c:orientation val="minMax"/>
        </c:scaling>
        <c:delete val="0"/>
        <c:axPos val="b"/>
        <c:majorTickMark val="out"/>
        <c:minorTickMark val="none"/>
        <c:tickLblPos val="low"/>
        <c:crossAx val="412555520"/>
        <c:crosses val="autoZero"/>
        <c:auto val="1"/>
        <c:lblAlgn val="ctr"/>
        <c:lblOffset val="100"/>
        <c:noMultiLvlLbl val="0"/>
      </c:catAx>
      <c:valAx>
        <c:axId val="412555520"/>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41255398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scatterChart>
        <c:scatterStyle val="lineMarker"/>
        <c:varyColors val="0"/>
        <c:ser>
          <c:idx val="0"/>
          <c:order val="0"/>
          <c:spPr>
            <a:ln w="66675">
              <a:noFill/>
            </a:ln>
          </c:spPr>
          <c:marker>
            <c:symbol val="circle"/>
            <c:size val="5"/>
          </c:marker>
          <c:dLbls>
            <c:dLbl>
              <c:idx val="0"/>
              <c:layout/>
              <c:tx>
                <c:rich>
                  <a:bodyPr/>
                  <a:lstStyle/>
                  <a:p>
                    <a:r>
                      <a:rPr lang="en-US" sz="700"/>
                      <a:t>Other non-</a:t>
                    </a:r>
                    <a:br>
                      <a:rPr lang="en-US" sz="700"/>
                    </a:br>
                    <a:r>
                      <a:rPr lang="en-US" sz="700"/>
                      <a:t>market services</a:t>
                    </a:r>
                    <a:endParaRPr lang="en-US"/>
                  </a:p>
                </c:rich>
              </c:tx>
              <c:dLblPos val="b"/>
              <c:showLegendKey val="0"/>
              <c:showVal val="1"/>
              <c:showCatName val="1"/>
              <c:showSerName val="0"/>
              <c:showPercent val="0"/>
              <c:showBubbleSize val="0"/>
            </c:dLbl>
            <c:dLbl>
              <c:idx val="1"/>
              <c:layout/>
              <c:tx>
                <c:rich>
                  <a:bodyPr/>
                  <a:lstStyle/>
                  <a:p>
                    <a:r>
                      <a:rPr lang="en-US" sz="700"/>
                      <a:t>Govt</a:t>
                    </a:r>
                    <a:r>
                      <a:rPr lang="en-US" sz="700" baseline="0"/>
                      <a:t> services</a:t>
                    </a:r>
                    <a:endParaRPr lang="en-US"/>
                  </a:p>
                </c:rich>
              </c:tx>
              <c:dLblPos val="r"/>
              <c:showLegendKey val="0"/>
              <c:showVal val="1"/>
              <c:showCatName val="1"/>
              <c:showSerName val="0"/>
              <c:showPercent val="0"/>
              <c:showBubbleSize val="0"/>
            </c:dLbl>
            <c:dLbl>
              <c:idx val="2"/>
              <c:layout/>
              <c:tx>
                <c:rich>
                  <a:bodyPr/>
                  <a:lstStyle/>
                  <a:p>
                    <a:r>
                      <a:rPr lang="en-US" sz="700"/>
                      <a:t>Agriculture</a:t>
                    </a:r>
                    <a:endParaRPr lang="en-US"/>
                  </a:p>
                </c:rich>
              </c:tx>
              <c:dLblPos val="b"/>
              <c:showLegendKey val="0"/>
              <c:showVal val="1"/>
              <c:showCatName val="1"/>
              <c:showSerName val="0"/>
              <c:showPercent val="0"/>
              <c:showBubbleSize val="0"/>
            </c:dLbl>
            <c:dLbl>
              <c:idx val="3"/>
              <c:layout/>
              <c:tx>
                <c:rich>
                  <a:bodyPr/>
                  <a:lstStyle/>
                  <a:p>
                    <a:r>
                      <a:rPr lang="en-US" sz="700"/>
                      <a:t>Finance &amp;</a:t>
                    </a:r>
                    <a:r>
                      <a:rPr lang="en-US" sz="700" baseline="0"/>
                      <a:t> </a:t>
                    </a:r>
                    <a:br>
                      <a:rPr lang="en-US" sz="700" baseline="0"/>
                    </a:br>
                    <a:r>
                      <a:rPr lang="en-US" sz="700" baseline="0"/>
                      <a:t>business</a:t>
                    </a:r>
                    <a:endParaRPr lang="en-US"/>
                  </a:p>
                </c:rich>
              </c:tx>
              <c:dLblPos val="l"/>
              <c:showLegendKey val="0"/>
              <c:showVal val="1"/>
              <c:showCatName val="1"/>
              <c:showSerName val="0"/>
              <c:showPercent val="0"/>
              <c:showBubbleSize val="0"/>
            </c:dLbl>
            <c:dLbl>
              <c:idx val="4"/>
              <c:layout/>
              <c:tx>
                <c:rich>
                  <a:bodyPr/>
                  <a:lstStyle/>
                  <a:p>
                    <a:r>
                      <a:rPr lang="en-US" sz="700"/>
                      <a:t>Manufacturing</a:t>
                    </a:r>
                    <a:endParaRPr lang="en-US"/>
                  </a:p>
                </c:rich>
              </c:tx>
              <c:dLblPos val="r"/>
              <c:showLegendKey val="0"/>
              <c:showVal val="1"/>
              <c:showCatName val="1"/>
              <c:showSerName val="0"/>
              <c:showPercent val="0"/>
              <c:showBubbleSize val="0"/>
            </c:dLbl>
            <c:dLbl>
              <c:idx val="5"/>
              <c:layout/>
              <c:tx>
                <c:rich>
                  <a:bodyPr/>
                  <a:lstStyle/>
                  <a:p>
                    <a:r>
                      <a:rPr lang="en-US" sz="700"/>
                      <a:t>Distri-</a:t>
                    </a:r>
                    <a:br>
                      <a:rPr lang="en-US" sz="700"/>
                    </a:br>
                    <a:r>
                      <a:rPr lang="en-US" sz="700"/>
                      <a:t>bution</a:t>
                    </a:r>
                    <a:endParaRPr lang="en-US"/>
                  </a:p>
                </c:rich>
              </c:tx>
              <c:dLblPos val="l"/>
              <c:showLegendKey val="0"/>
              <c:showVal val="1"/>
              <c:showCatName val="1"/>
              <c:showSerName val="0"/>
              <c:showPercent val="0"/>
              <c:showBubbleSize val="0"/>
            </c:dLbl>
            <c:dLbl>
              <c:idx val="6"/>
              <c:layout/>
              <c:tx>
                <c:rich>
                  <a:bodyPr/>
                  <a:lstStyle/>
                  <a:p>
                    <a:r>
                      <a:rPr lang="en-US" sz="700"/>
                      <a:t>Other </a:t>
                    </a:r>
                    <a:br>
                      <a:rPr lang="en-US" sz="700"/>
                    </a:br>
                    <a:r>
                      <a:rPr lang="en-US" sz="700"/>
                      <a:t>industry</a:t>
                    </a:r>
                    <a:endParaRPr lang="en-US"/>
                  </a:p>
                </c:rich>
              </c:tx>
              <c:dLblPos val="t"/>
              <c:showLegendKey val="0"/>
              <c:showVal val="1"/>
              <c:showCatName val="1"/>
              <c:showSerName val="0"/>
              <c:showPercent val="0"/>
              <c:showBubbleSize val="0"/>
            </c:dLbl>
            <c:dLbl>
              <c:idx val="7"/>
              <c:tx>
                <c:rich>
                  <a:bodyPr/>
                  <a:lstStyle/>
                  <a:p>
                    <a:r>
                      <a:rPr lang="en-US" sz="700"/>
                      <a:t>Mining</a:t>
                    </a:r>
                    <a:endParaRPr lang="en-US"/>
                  </a:p>
                </c:rich>
              </c:tx>
              <c:dLblPos val="l"/>
              <c:showLegendKey val="0"/>
              <c:showVal val="1"/>
              <c:showCatName val="1"/>
              <c:showSerName val="0"/>
              <c:showPercent val="0"/>
              <c:showBubbleSize val="0"/>
            </c:dLbl>
            <c:txPr>
              <a:bodyPr/>
              <a:lstStyle/>
              <a:p>
                <a:pPr>
                  <a:defRPr sz="700"/>
                </a:pPr>
                <a:endParaRPr lang="en-US"/>
              </a:p>
            </c:txPr>
            <c:dLblPos val="t"/>
            <c:showLegendKey val="0"/>
            <c:showVal val="1"/>
            <c:showCatName val="1"/>
            <c:showSerName val="0"/>
            <c:showPercent val="0"/>
            <c:showBubbleSize val="0"/>
            <c:showLeaderLines val="0"/>
          </c:dLbls>
          <c:xVal>
            <c:numRef>
              <c:f>'Productivity gaps1'!$E$6:$E$12</c:f>
              <c:numCache>
                <c:formatCode>#,##0.00</c:formatCode>
                <c:ptCount val="7"/>
                <c:pt idx="0">
                  <c:v>6.5716827926213209E-2</c:v>
                </c:pt>
                <c:pt idx="1">
                  <c:v>0.11014131425145143</c:v>
                </c:pt>
                <c:pt idx="2">
                  <c:v>0.69891133566354968</c:v>
                </c:pt>
                <c:pt idx="3">
                  <c:v>0.72567627819791158</c:v>
                </c:pt>
                <c:pt idx="4">
                  <c:v>0.76565980957287183</c:v>
                </c:pt>
                <c:pt idx="5">
                  <c:v>0.97988699843248017</c:v>
                </c:pt>
                <c:pt idx="6">
                  <c:v>0.99800213081838607</c:v>
                </c:pt>
              </c:numCache>
            </c:numRef>
          </c:xVal>
          <c:yVal>
            <c:numRef>
              <c:f>'Productivity gaps1'!$F$6:$F$12</c:f>
              <c:numCache>
                <c:formatCode>#,##0.0</c:formatCode>
                <c:ptCount val="7"/>
                <c:pt idx="0">
                  <c:v>0.18102110958547579</c:v>
                </c:pt>
                <c:pt idx="1">
                  <c:v>0.25371143763538623</c:v>
                </c:pt>
                <c:pt idx="2">
                  <c:v>0.63985701324964506</c:v>
                </c:pt>
                <c:pt idx="3">
                  <c:v>0.83475674885384921</c:v>
                </c:pt>
                <c:pt idx="4">
                  <c:v>0.88655148907452808</c:v>
                </c:pt>
                <c:pt idx="5">
                  <c:v>1.0355035225592262</c:v>
                </c:pt>
                <c:pt idx="6">
                  <c:v>1.2732645209014168</c:v>
                </c:pt>
              </c:numCache>
            </c:numRef>
          </c:yVal>
          <c:smooth val="0"/>
        </c:ser>
        <c:dLbls>
          <c:showLegendKey val="0"/>
          <c:showVal val="1"/>
          <c:showCatName val="0"/>
          <c:showSerName val="0"/>
          <c:showPercent val="0"/>
          <c:showBubbleSize val="0"/>
        </c:dLbls>
        <c:axId val="423918592"/>
        <c:axId val="424169472"/>
      </c:scatterChart>
      <c:valAx>
        <c:axId val="423918592"/>
        <c:scaling>
          <c:orientation val="minMax"/>
          <c:max val="1"/>
        </c:scaling>
        <c:delete val="0"/>
        <c:axPos val="b"/>
        <c:title>
          <c:tx>
            <c:rich>
              <a:bodyPr/>
              <a:lstStyle/>
              <a:p>
                <a:pPr>
                  <a:defRPr b="0"/>
                </a:pPr>
                <a:r>
                  <a:rPr lang="en-US" b="0"/>
                  <a:t>Cumulative share of persons engaged</a:t>
                </a:r>
              </a:p>
            </c:rich>
          </c:tx>
          <c:layout/>
          <c:overlay val="0"/>
        </c:title>
        <c:numFmt formatCode="#,##0.00" sourceLinked="0"/>
        <c:majorTickMark val="out"/>
        <c:minorTickMark val="none"/>
        <c:tickLblPos val="nextTo"/>
        <c:crossAx val="424169472"/>
        <c:crosses val="autoZero"/>
        <c:crossBetween val="midCat"/>
      </c:valAx>
      <c:valAx>
        <c:axId val="424169472"/>
        <c:scaling>
          <c:orientation val="minMax"/>
        </c:scaling>
        <c:delete val="0"/>
        <c:axPos val="l"/>
        <c:majorGridlines/>
        <c:title>
          <c:tx>
            <c:rich>
              <a:bodyPr rot="-5400000" vert="horz"/>
              <a:lstStyle/>
              <a:p>
                <a:pPr>
                  <a:defRPr b="0"/>
                </a:pPr>
                <a:r>
                  <a:rPr lang="en-US" b="0"/>
                  <a:t>Relative productivity</a:t>
                </a:r>
              </a:p>
            </c:rich>
          </c:tx>
          <c:layout/>
          <c:overlay val="0"/>
        </c:title>
        <c:numFmt formatCode="#,##0.0" sourceLinked="0"/>
        <c:majorTickMark val="out"/>
        <c:minorTickMark val="none"/>
        <c:tickLblPos val="nextTo"/>
        <c:crossAx val="423918592"/>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gaps1'!$I$5</c:f>
              <c:strCache>
                <c:ptCount val="1"/>
                <c:pt idx="0">
                  <c:v>Other non market services</c:v>
                </c:pt>
              </c:strCache>
            </c:strRef>
          </c:tx>
          <c:spPr>
            <a:solidFill>
              <a:schemeClr val="accent1"/>
            </a:solidFill>
          </c:spPr>
          <c:cat>
            <c:numRef>
              <c:f>'Productivity gaps1'!$H$6:$H$31</c:f>
              <c:numCache>
                <c:formatCode>General</c:formatCode>
                <c:ptCount val="26"/>
                <c:pt idx="0">
                  <c:v>0</c:v>
                </c:pt>
                <c:pt idx="1">
                  <c:v>0</c:v>
                </c:pt>
                <c:pt idx="2">
                  <c:v>3.2858413963106603</c:v>
                </c:pt>
                <c:pt idx="3">
                  <c:v>6.5716827926213206</c:v>
                </c:pt>
                <c:pt idx="4">
                  <c:v>6.5716827926213206</c:v>
                </c:pt>
                <c:pt idx="5">
                  <c:v>8.7929071088832309</c:v>
                </c:pt>
                <c:pt idx="6">
                  <c:v>11.014131425145143</c:v>
                </c:pt>
                <c:pt idx="7">
                  <c:v>11.014131425145143</c:v>
                </c:pt>
                <c:pt idx="8">
                  <c:v>40.452632495750052</c:v>
                </c:pt>
                <c:pt idx="9">
                  <c:v>69.891133566354966</c:v>
                </c:pt>
                <c:pt idx="10">
                  <c:v>69.891133566354966</c:v>
                </c:pt>
                <c:pt idx="11">
                  <c:v>71.229380693073068</c:v>
                </c:pt>
                <c:pt idx="12">
                  <c:v>72.567627819791156</c:v>
                </c:pt>
                <c:pt idx="13">
                  <c:v>72.567627819791156</c:v>
                </c:pt>
                <c:pt idx="14">
                  <c:v>74.566804388539168</c:v>
                </c:pt>
                <c:pt idx="15">
                  <c:v>76.565980957287181</c:v>
                </c:pt>
                <c:pt idx="16">
                  <c:v>76.565980957287181</c:v>
                </c:pt>
                <c:pt idx="17">
                  <c:v>87.277340400267605</c:v>
                </c:pt>
                <c:pt idx="18">
                  <c:v>97.988699843248014</c:v>
                </c:pt>
                <c:pt idx="19">
                  <c:v>97.988699843248014</c:v>
                </c:pt>
                <c:pt idx="20">
                  <c:v>98.894456462543303</c:v>
                </c:pt>
                <c:pt idx="21">
                  <c:v>99.800213081838606</c:v>
                </c:pt>
                <c:pt idx="22">
                  <c:v>99.800213081838606</c:v>
                </c:pt>
                <c:pt idx="23">
                  <c:v>99.900106540919325</c:v>
                </c:pt>
                <c:pt idx="24">
                  <c:v>100.00000000000003</c:v>
                </c:pt>
                <c:pt idx="25">
                  <c:v>100.00000000000003</c:v>
                </c:pt>
              </c:numCache>
            </c:numRef>
          </c:cat>
          <c:val>
            <c:numRef>
              <c:f>'Productivity gaps1'!$I$6:$I$31</c:f>
              <c:numCache>
                <c:formatCode>General</c:formatCode>
                <c:ptCount val="26"/>
                <c:pt idx="0">
                  <c:v>0</c:v>
                </c:pt>
                <c:pt idx="1">
                  <c:v>0.18102110958547579</c:v>
                </c:pt>
                <c:pt idx="2">
                  <c:v>0.18102110958547579</c:v>
                </c:pt>
                <c:pt idx="3">
                  <c:v>0.18102110958547579</c:v>
                </c:pt>
                <c:pt idx="4">
                  <c:v>0</c:v>
                </c:pt>
              </c:numCache>
            </c:numRef>
          </c:val>
        </c:ser>
        <c:ser>
          <c:idx val="1"/>
          <c:order val="1"/>
          <c:tx>
            <c:strRef>
              <c:f>'Productivity gaps1'!$J$5</c:f>
              <c:strCache>
                <c:ptCount val="1"/>
                <c:pt idx="0">
                  <c:v>Government services</c:v>
                </c:pt>
              </c:strCache>
            </c:strRef>
          </c:tx>
          <c:spPr>
            <a:solidFill>
              <a:schemeClr val="accent6"/>
            </a:solidFill>
          </c:spPr>
          <c:cat>
            <c:numRef>
              <c:f>'Productivity gaps1'!$H$6:$H$31</c:f>
              <c:numCache>
                <c:formatCode>General</c:formatCode>
                <c:ptCount val="26"/>
                <c:pt idx="0">
                  <c:v>0</c:v>
                </c:pt>
                <c:pt idx="1">
                  <c:v>0</c:v>
                </c:pt>
                <c:pt idx="2">
                  <c:v>3.2858413963106603</c:v>
                </c:pt>
                <c:pt idx="3">
                  <c:v>6.5716827926213206</c:v>
                </c:pt>
                <c:pt idx="4">
                  <c:v>6.5716827926213206</c:v>
                </c:pt>
                <c:pt idx="5">
                  <c:v>8.7929071088832309</c:v>
                </c:pt>
                <c:pt idx="6">
                  <c:v>11.014131425145143</c:v>
                </c:pt>
                <c:pt idx="7">
                  <c:v>11.014131425145143</c:v>
                </c:pt>
                <c:pt idx="8">
                  <c:v>40.452632495750052</c:v>
                </c:pt>
                <c:pt idx="9">
                  <c:v>69.891133566354966</c:v>
                </c:pt>
                <c:pt idx="10">
                  <c:v>69.891133566354966</c:v>
                </c:pt>
                <c:pt idx="11">
                  <c:v>71.229380693073068</c:v>
                </c:pt>
                <c:pt idx="12">
                  <c:v>72.567627819791156</c:v>
                </c:pt>
                <c:pt idx="13">
                  <c:v>72.567627819791156</c:v>
                </c:pt>
                <c:pt idx="14">
                  <c:v>74.566804388539168</c:v>
                </c:pt>
                <c:pt idx="15">
                  <c:v>76.565980957287181</c:v>
                </c:pt>
                <c:pt idx="16">
                  <c:v>76.565980957287181</c:v>
                </c:pt>
                <c:pt idx="17">
                  <c:v>87.277340400267605</c:v>
                </c:pt>
                <c:pt idx="18">
                  <c:v>97.988699843248014</c:v>
                </c:pt>
                <c:pt idx="19">
                  <c:v>97.988699843248014</c:v>
                </c:pt>
                <c:pt idx="20">
                  <c:v>98.894456462543303</c:v>
                </c:pt>
                <c:pt idx="21">
                  <c:v>99.800213081838606</c:v>
                </c:pt>
                <c:pt idx="22">
                  <c:v>99.800213081838606</c:v>
                </c:pt>
                <c:pt idx="23">
                  <c:v>99.900106540919325</c:v>
                </c:pt>
                <c:pt idx="24">
                  <c:v>100.00000000000003</c:v>
                </c:pt>
                <c:pt idx="25">
                  <c:v>100.00000000000003</c:v>
                </c:pt>
              </c:numCache>
            </c:numRef>
          </c:cat>
          <c:val>
            <c:numRef>
              <c:f>'Productivity gaps1'!$J$6:$J$31</c:f>
              <c:numCache>
                <c:formatCode>General</c:formatCode>
                <c:ptCount val="26"/>
                <c:pt idx="3">
                  <c:v>0</c:v>
                </c:pt>
                <c:pt idx="4">
                  <c:v>0.25371143763538623</c:v>
                </c:pt>
                <c:pt idx="5">
                  <c:v>0.25371143763538623</c:v>
                </c:pt>
                <c:pt idx="6">
                  <c:v>0.25371143763538623</c:v>
                </c:pt>
                <c:pt idx="7">
                  <c:v>0</c:v>
                </c:pt>
              </c:numCache>
            </c:numRef>
          </c:val>
        </c:ser>
        <c:ser>
          <c:idx val="2"/>
          <c:order val="2"/>
          <c:tx>
            <c:strRef>
              <c:f>'Productivity gaps1'!$K$5</c:f>
              <c:strCache>
                <c:ptCount val="1"/>
                <c:pt idx="0">
                  <c:v>Agriculture</c:v>
                </c:pt>
              </c:strCache>
            </c:strRef>
          </c:tx>
          <c:spPr>
            <a:solidFill>
              <a:schemeClr val="accent3"/>
            </a:solidFill>
          </c:spPr>
          <c:cat>
            <c:numRef>
              <c:f>'Productivity gaps1'!$H$6:$H$31</c:f>
              <c:numCache>
                <c:formatCode>General</c:formatCode>
                <c:ptCount val="26"/>
                <c:pt idx="0">
                  <c:v>0</c:v>
                </c:pt>
                <c:pt idx="1">
                  <c:v>0</c:v>
                </c:pt>
                <c:pt idx="2">
                  <c:v>3.2858413963106603</c:v>
                </c:pt>
                <c:pt idx="3">
                  <c:v>6.5716827926213206</c:v>
                </c:pt>
                <c:pt idx="4">
                  <c:v>6.5716827926213206</c:v>
                </c:pt>
                <c:pt idx="5">
                  <c:v>8.7929071088832309</c:v>
                </c:pt>
                <c:pt idx="6">
                  <c:v>11.014131425145143</c:v>
                </c:pt>
                <c:pt idx="7">
                  <c:v>11.014131425145143</c:v>
                </c:pt>
                <c:pt idx="8">
                  <c:v>40.452632495750052</c:v>
                </c:pt>
                <c:pt idx="9">
                  <c:v>69.891133566354966</c:v>
                </c:pt>
                <c:pt idx="10">
                  <c:v>69.891133566354966</c:v>
                </c:pt>
                <c:pt idx="11">
                  <c:v>71.229380693073068</c:v>
                </c:pt>
                <c:pt idx="12">
                  <c:v>72.567627819791156</c:v>
                </c:pt>
                <c:pt idx="13">
                  <c:v>72.567627819791156</c:v>
                </c:pt>
                <c:pt idx="14">
                  <c:v>74.566804388539168</c:v>
                </c:pt>
                <c:pt idx="15">
                  <c:v>76.565980957287181</c:v>
                </c:pt>
                <c:pt idx="16">
                  <c:v>76.565980957287181</c:v>
                </c:pt>
                <c:pt idx="17">
                  <c:v>87.277340400267605</c:v>
                </c:pt>
                <c:pt idx="18">
                  <c:v>97.988699843248014</c:v>
                </c:pt>
                <c:pt idx="19">
                  <c:v>97.988699843248014</c:v>
                </c:pt>
                <c:pt idx="20">
                  <c:v>98.894456462543303</c:v>
                </c:pt>
                <c:pt idx="21">
                  <c:v>99.800213081838606</c:v>
                </c:pt>
                <c:pt idx="22">
                  <c:v>99.800213081838606</c:v>
                </c:pt>
                <c:pt idx="23">
                  <c:v>99.900106540919325</c:v>
                </c:pt>
                <c:pt idx="24">
                  <c:v>100.00000000000003</c:v>
                </c:pt>
                <c:pt idx="25">
                  <c:v>100.00000000000003</c:v>
                </c:pt>
              </c:numCache>
            </c:numRef>
          </c:cat>
          <c:val>
            <c:numRef>
              <c:f>'Productivity gaps1'!$K$6:$K$31</c:f>
              <c:numCache>
                <c:formatCode>General</c:formatCode>
                <c:ptCount val="26"/>
                <c:pt idx="6">
                  <c:v>0</c:v>
                </c:pt>
                <c:pt idx="7">
                  <c:v>0.63985701324964506</c:v>
                </c:pt>
                <c:pt idx="8">
                  <c:v>0.63985701324964506</c:v>
                </c:pt>
                <c:pt idx="9">
                  <c:v>0.63985701324964506</c:v>
                </c:pt>
                <c:pt idx="10">
                  <c:v>0</c:v>
                </c:pt>
              </c:numCache>
            </c:numRef>
          </c:val>
        </c:ser>
        <c:ser>
          <c:idx val="3"/>
          <c:order val="3"/>
          <c:tx>
            <c:strRef>
              <c:f>'Productivity gaps1'!$L$5</c:f>
              <c:strCache>
                <c:ptCount val="1"/>
                <c:pt idx="0">
                  <c:v>Finance and business services</c:v>
                </c:pt>
              </c:strCache>
            </c:strRef>
          </c:tx>
          <c:spPr>
            <a:solidFill>
              <a:schemeClr val="bg1">
                <a:lumMod val="65000"/>
              </a:schemeClr>
            </a:solidFill>
          </c:spPr>
          <c:cat>
            <c:numRef>
              <c:f>'Productivity gaps1'!$H$6:$H$31</c:f>
              <c:numCache>
                <c:formatCode>General</c:formatCode>
                <c:ptCount val="26"/>
                <c:pt idx="0">
                  <c:v>0</c:v>
                </c:pt>
                <c:pt idx="1">
                  <c:v>0</c:v>
                </c:pt>
                <c:pt idx="2">
                  <c:v>3.2858413963106603</c:v>
                </c:pt>
                <c:pt idx="3">
                  <c:v>6.5716827926213206</c:v>
                </c:pt>
                <c:pt idx="4">
                  <c:v>6.5716827926213206</c:v>
                </c:pt>
                <c:pt idx="5">
                  <c:v>8.7929071088832309</c:v>
                </c:pt>
                <c:pt idx="6">
                  <c:v>11.014131425145143</c:v>
                </c:pt>
                <c:pt idx="7">
                  <c:v>11.014131425145143</c:v>
                </c:pt>
                <c:pt idx="8">
                  <c:v>40.452632495750052</c:v>
                </c:pt>
                <c:pt idx="9">
                  <c:v>69.891133566354966</c:v>
                </c:pt>
                <c:pt idx="10">
                  <c:v>69.891133566354966</c:v>
                </c:pt>
                <c:pt idx="11">
                  <c:v>71.229380693073068</c:v>
                </c:pt>
                <c:pt idx="12">
                  <c:v>72.567627819791156</c:v>
                </c:pt>
                <c:pt idx="13">
                  <c:v>72.567627819791156</c:v>
                </c:pt>
                <c:pt idx="14">
                  <c:v>74.566804388539168</c:v>
                </c:pt>
                <c:pt idx="15">
                  <c:v>76.565980957287181</c:v>
                </c:pt>
                <c:pt idx="16">
                  <c:v>76.565980957287181</c:v>
                </c:pt>
                <c:pt idx="17">
                  <c:v>87.277340400267605</c:v>
                </c:pt>
                <c:pt idx="18">
                  <c:v>97.988699843248014</c:v>
                </c:pt>
                <c:pt idx="19">
                  <c:v>97.988699843248014</c:v>
                </c:pt>
                <c:pt idx="20">
                  <c:v>98.894456462543303</c:v>
                </c:pt>
                <c:pt idx="21">
                  <c:v>99.800213081838606</c:v>
                </c:pt>
                <c:pt idx="22">
                  <c:v>99.800213081838606</c:v>
                </c:pt>
                <c:pt idx="23">
                  <c:v>99.900106540919325</c:v>
                </c:pt>
                <c:pt idx="24">
                  <c:v>100.00000000000003</c:v>
                </c:pt>
                <c:pt idx="25">
                  <c:v>100.00000000000003</c:v>
                </c:pt>
              </c:numCache>
            </c:numRef>
          </c:cat>
          <c:val>
            <c:numRef>
              <c:f>'Productivity gaps1'!$L$6:$L$31</c:f>
              <c:numCache>
                <c:formatCode>General</c:formatCode>
                <c:ptCount val="26"/>
                <c:pt idx="9">
                  <c:v>0</c:v>
                </c:pt>
                <c:pt idx="10">
                  <c:v>0.83475674885384921</c:v>
                </c:pt>
                <c:pt idx="11">
                  <c:v>0.83475674885384921</c:v>
                </c:pt>
                <c:pt idx="12">
                  <c:v>0.83475674885384921</c:v>
                </c:pt>
                <c:pt idx="13">
                  <c:v>0</c:v>
                </c:pt>
              </c:numCache>
            </c:numRef>
          </c:val>
        </c:ser>
        <c:ser>
          <c:idx val="4"/>
          <c:order val="4"/>
          <c:tx>
            <c:strRef>
              <c:f>'Productivity gaps1'!$M$5</c:f>
              <c:strCache>
                <c:ptCount val="1"/>
                <c:pt idx="0">
                  <c:v>Manufacturing</c:v>
                </c:pt>
              </c:strCache>
            </c:strRef>
          </c:tx>
          <c:spPr>
            <a:solidFill>
              <a:schemeClr val="accent5"/>
            </a:solidFill>
          </c:spPr>
          <c:cat>
            <c:numRef>
              <c:f>'Productivity gaps1'!$H$6:$H$31</c:f>
              <c:numCache>
                <c:formatCode>General</c:formatCode>
                <c:ptCount val="26"/>
                <c:pt idx="0">
                  <c:v>0</c:v>
                </c:pt>
                <c:pt idx="1">
                  <c:v>0</c:v>
                </c:pt>
                <c:pt idx="2">
                  <c:v>3.2858413963106603</c:v>
                </c:pt>
                <c:pt idx="3">
                  <c:v>6.5716827926213206</c:v>
                </c:pt>
                <c:pt idx="4">
                  <c:v>6.5716827926213206</c:v>
                </c:pt>
                <c:pt idx="5">
                  <c:v>8.7929071088832309</c:v>
                </c:pt>
                <c:pt idx="6">
                  <c:v>11.014131425145143</c:v>
                </c:pt>
                <c:pt idx="7">
                  <c:v>11.014131425145143</c:v>
                </c:pt>
                <c:pt idx="8">
                  <c:v>40.452632495750052</c:v>
                </c:pt>
                <c:pt idx="9">
                  <c:v>69.891133566354966</c:v>
                </c:pt>
                <c:pt idx="10">
                  <c:v>69.891133566354966</c:v>
                </c:pt>
                <c:pt idx="11">
                  <c:v>71.229380693073068</c:v>
                </c:pt>
                <c:pt idx="12">
                  <c:v>72.567627819791156</c:v>
                </c:pt>
                <c:pt idx="13">
                  <c:v>72.567627819791156</c:v>
                </c:pt>
                <c:pt idx="14">
                  <c:v>74.566804388539168</c:v>
                </c:pt>
                <c:pt idx="15">
                  <c:v>76.565980957287181</c:v>
                </c:pt>
                <c:pt idx="16">
                  <c:v>76.565980957287181</c:v>
                </c:pt>
                <c:pt idx="17">
                  <c:v>87.277340400267605</c:v>
                </c:pt>
                <c:pt idx="18">
                  <c:v>97.988699843248014</c:v>
                </c:pt>
                <c:pt idx="19">
                  <c:v>97.988699843248014</c:v>
                </c:pt>
                <c:pt idx="20">
                  <c:v>98.894456462543303</c:v>
                </c:pt>
                <c:pt idx="21">
                  <c:v>99.800213081838606</c:v>
                </c:pt>
                <c:pt idx="22">
                  <c:v>99.800213081838606</c:v>
                </c:pt>
                <c:pt idx="23">
                  <c:v>99.900106540919325</c:v>
                </c:pt>
                <c:pt idx="24">
                  <c:v>100.00000000000003</c:v>
                </c:pt>
                <c:pt idx="25">
                  <c:v>100.00000000000003</c:v>
                </c:pt>
              </c:numCache>
            </c:numRef>
          </c:cat>
          <c:val>
            <c:numRef>
              <c:f>'Productivity gaps1'!$M$6:$M$31</c:f>
              <c:numCache>
                <c:formatCode>General</c:formatCode>
                <c:ptCount val="26"/>
                <c:pt idx="12">
                  <c:v>0</c:v>
                </c:pt>
                <c:pt idx="13">
                  <c:v>0.88655148907452808</c:v>
                </c:pt>
                <c:pt idx="14">
                  <c:v>0.88655148907452808</c:v>
                </c:pt>
                <c:pt idx="15">
                  <c:v>0.88655148907452808</c:v>
                </c:pt>
                <c:pt idx="16">
                  <c:v>0</c:v>
                </c:pt>
              </c:numCache>
            </c:numRef>
          </c:val>
        </c:ser>
        <c:ser>
          <c:idx val="5"/>
          <c:order val="5"/>
          <c:tx>
            <c:strRef>
              <c:f>'Productivity gaps1'!$N$5</c:f>
              <c:strCache>
                <c:ptCount val="1"/>
                <c:pt idx="0">
                  <c:v>Distribution services</c:v>
                </c:pt>
              </c:strCache>
            </c:strRef>
          </c:tx>
          <c:spPr>
            <a:solidFill>
              <a:schemeClr val="accent2"/>
            </a:solidFill>
          </c:spPr>
          <c:cat>
            <c:numRef>
              <c:f>'Productivity gaps1'!$H$6:$H$31</c:f>
              <c:numCache>
                <c:formatCode>General</c:formatCode>
                <c:ptCount val="26"/>
                <c:pt idx="0">
                  <c:v>0</c:v>
                </c:pt>
                <c:pt idx="1">
                  <c:v>0</c:v>
                </c:pt>
                <c:pt idx="2">
                  <c:v>3.2858413963106603</c:v>
                </c:pt>
                <c:pt idx="3">
                  <c:v>6.5716827926213206</c:v>
                </c:pt>
                <c:pt idx="4">
                  <c:v>6.5716827926213206</c:v>
                </c:pt>
                <c:pt idx="5">
                  <c:v>8.7929071088832309</c:v>
                </c:pt>
                <c:pt idx="6">
                  <c:v>11.014131425145143</c:v>
                </c:pt>
                <c:pt idx="7">
                  <c:v>11.014131425145143</c:v>
                </c:pt>
                <c:pt idx="8">
                  <c:v>40.452632495750052</c:v>
                </c:pt>
                <c:pt idx="9">
                  <c:v>69.891133566354966</c:v>
                </c:pt>
                <c:pt idx="10">
                  <c:v>69.891133566354966</c:v>
                </c:pt>
                <c:pt idx="11">
                  <c:v>71.229380693073068</c:v>
                </c:pt>
                <c:pt idx="12">
                  <c:v>72.567627819791156</c:v>
                </c:pt>
                <c:pt idx="13">
                  <c:v>72.567627819791156</c:v>
                </c:pt>
                <c:pt idx="14">
                  <c:v>74.566804388539168</c:v>
                </c:pt>
                <c:pt idx="15">
                  <c:v>76.565980957287181</c:v>
                </c:pt>
                <c:pt idx="16">
                  <c:v>76.565980957287181</c:v>
                </c:pt>
                <c:pt idx="17">
                  <c:v>87.277340400267605</c:v>
                </c:pt>
                <c:pt idx="18">
                  <c:v>97.988699843248014</c:v>
                </c:pt>
                <c:pt idx="19">
                  <c:v>97.988699843248014</c:v>
                </c:pt>
                <c:pt idx="20">
                  <c:v>98.894456462543303</c:v>
                </c:pt>
                <c:pt idx="21">
                  <c:v>99.800213081838606</c:v>
                </c:pt>
                <c:pt idx="22">
                  <c:v>99.800213081838606</c:v>
                </c:pt>
                <c:pt idx="23">
                  <c:v>99.900106540919325</c:v>
                </c:pt>
                <c:pt idx="24">
                  <c:v>100.00000000000003</c:v>
                </c:pt>
                <c:pt idx="25">
                  <c:v>100.00000000000003</c:v>
                </c:pt>
              </c:numCache>
            </c:numRef>
          </c:cat>
          <c:val>
            <c:numRef>
              <c:f>'Productivity gaps1'!$N$6:$N$31</c:f>
              <c:numCache>
                <c:formatCode>General</c:formatCode>
                <c:ptCount val="26"/>
                <c:pt idx="15">
                  <c:v>0</c:v>
                </c:pt>
                <c:pt idx="16">
                  <c:v>1.0355035225592262</c:v>
                </c:pt>
                <c:pt idx="17">
                  <c:v>1.0355035225592262</c:v>
                </c:pt>
                <c:pt idx="18">
                  <c:v>1.0355035225592262</c:v>
                </c:pt>
                <c:pt idx="19">
                  <c:v>0</c:v>
                </c:pt>
              </c:numCache>
            </c:numRef>
          </c:val>
        </c:ser>
        <c:ser>
          <c:idx val="6"/>
          <c:order val="6"/>
          <c:tx>
            <c:strRef>
              <c:f>'Productivity gaps1'!$O$5</c:f>
              <c:strCache>
                <c:ptCount val="1"/>
                <c:pt idx="0">
                  <c:v>Other industry</c:v>
                </c:pt>
              </c:strCache>
            </c:strRef>
          </c:tx>
          <c:spPr>
            <a:solidFill>
              <a:schemeClr val="accent6">
                <a:lumMod val="50000"/>
              </a:schemeClr>
            </a:solidFill>
          </c:spPr>
          <c:cat>
            <c:numRef>
              <c:f>'Productivity gaps1'!$H$6:$H$31</c:f>
              <c:numCache>
                <c:formatCode>General</c:formatCode>
                <c:ptCount val="26"/>
                <c:pt idx="0">
                  <c:v>0</c:v>
                </c:pt>
                <c:pt idx="1">
                  <c:v>0</c:v>
                </c:pt>
                <c:pt idx="2">
                  <c:v>3.2858413963106603</c:v>
                </c:pt>
                <c:pt idx="3">
                  <c:v>6.5716827926213206</c:v>
                </c:pt>
                <c:pt idx="4">
                  <c:v>6.5716827926213206</c:v>
                </c:pt>
                <c:pt idx="5">
                  <c:v>8.7929071088832309</c:v>
                </c:pt>
                <c:pt idx="6">
                  <c:v>11.014131425145143</c:v>
                </c:pt>
                <c:pt idx="7">
                  <c:v>11.014131425145143</c:v>
                </c:pt>
                <c:pt idx="8">
                  <c:v>40.452632495750052</c:v>
                </c:pt>
                <c:pt idx="9">
                  <c:v>69.891133566354966</c:v>
                </c:pt>
                <c:pt idx="10">
                  <c:v>69.891133566354966</c:v>
                </c:pt>
                <c:pt idx="11">
                  <c:v>71.229380693073068</c:v>
                </c:pt>
                <c:pt idx="12">
                  <c:v>72.567627819791156</c:v>
                </c:pt>
                <c:pt idx="13">
                  <c:v>72.567627819791156</c:v>
                </c:pt>
                <c:pt idx="14">
                  <c:v>74.566804388539168</c:v>
                </c:pt>
                <c:pt idx="15">
                  <c:v>76.565980957287181</c:v>
                </c:pt>
                <c:pt idx="16">
                  <c:v>76.565980957287181</c:v>
                </c:pt>
                <c:pt idx="17">
                  <c:v>87.277340400267605</c:v>
                </c:pt>
                <c:pt idx="18">
                  <c:v>97.988699843248014</c:v>
                </c:pt>
                <c:pt idx="19">
                  <c:v>97.988699843248014</c:v>
                </c:pt>
                <c:pt idx="20">
                  <c:v>98.894456462543303</c:v>
                </c:pt>
                <c:pt idx="21">
                  <c:v>99.800213081838606</c:v>
                </c:pt>
                <c:pt idx="22">
                  <c:v>99.800213081838606</c:v>
                </c:pt>
                <c:pt idx="23">
                  <c:v>99.900106540919325</c:v>
                </c:pt>
                <c:pt idx="24">
                  <c:v>100.00000000000003</c:v>
                </c:pt>
                <c:pt idx="25">
                  <c:v>100.00000000000003</c:v>
                </c:pt>
              </c:numCache>
            </c:numRef>
          </c:cat>
          <c:val>
            <c:numRef>
              <c:f>'Productivity gaps1'!$O$6:$O$31</c:f>
              <c:numCache>
                <c:formatCode>General</c:formatCode>
                <c:ptCount val="26"/>
                <c:pt idx="18">
                  <c:v>0</c:v>
                </c:pt>
                <c:pt idx="19">
                  <c:v>1.2732645209014168</c:v>
                </c:pt>
                <c:pt idx="20">
                  <c:v>1.2732645209014168</c:v>
                </c:pt>
                <c:pt idx="21">
                  <c:v>1.2732645209014168</c:v>
                </c:pt>
                <c:pt idx="22">
                  <c:v>0</c:v>
                </c:pt>
              </c:numCache>
            </c:numRef>
          </c:val>
        </c:ser>
        <c:dLbls>
          <c:showLegendKey val="0"/>
          <c:showVal val="0"/>
          <c:showCatName val="0"/>
          <c:showSerName val="0"/>
          <c:showPercent val="0"/>
          <c:showBubbleSize val="0"/>
        </c:dLbls>
        <c:axId val="426758912"/>
        <c:axId val="426812544"/>
      </c:areaChart>
      <c:dateAx>
        <c:axId val="426758912"/>
        <c:scaling>
          <c:orientation val="minMax"/>
          <c:max val="100"/>
        </c:scaling>
        <c:delete val="0"/>
        <c:axPos val="b"/>
        <c:title>
          <c:tx>
            <c:rich>
              <a:bodyPr/>
              <a:lstStyle/>
              <a:p>
                <a:pPr>
                  <a:defRPr b="0"/>
                </a:pPr>
                <a:r>
                  <a:rPr lang="en-GB" b="0"/>
                  <a:t>Cumulative share of persons engaged (%)</a:t>
                </a:r>
              </a:p>
            </c:rich>
          </c:tx>
          <c:layout/>
          <c:overlay val="0"/>
        </c:title>
        <c:numFmt formatCode="0" sourceLinked="0"/>
        <c:majorTickMark val="out"/>
        <c:minorTickMark val="none"/>
        <c:tickLblPos val="nextTo"/>
        <c:crossAx val="426812544"/>
        <c:crosses val="autoZero"/>
        <c:auto val="0"/>
        <c:lblOffset val="100"/>
        <c:baseTimeUnit val="days"/>
        <c:majorUnit val="25"/>
        <c:majorTimeUnit val="days"/>
      </c:dateAx>
      <c:valAx>
        <c:axId val="426812544"/>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426758912"/>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employment2'!$B$6</c:f>
              <c:numCache>
                <c:formatCode>0.0</c:formatCode>
                <c:ptCount val="1"/>
                <c:pt idx="0">
                  <c:v>13.647214864375023</c:v>
                </c:pt>
              </c:numCache>
            </c:numRef>
          </c:xVal>
          <c:yVal>
            <c:numRef>
              <c:f>'Rel. prod. cf employment2'!$C$6</c:f>
              <c:numCache>
                <c:formatCode>0.0</c:formatCode>
                <c:ptCount val="1"/>
                <c:pt idx="0">
                  <c:v>0.43768471457958169</c:v>
                </c:pt>
              </c:numCache>
            </c:numRef>
          </c:yVal>
          <c:bubbleSize>
            <c:numRef>
              <c:f>'Rel. prod. cf employment2'!$E$6</c:f>
              <c:numCache>
                <c:formatCode>#,##0</c:formatCode>
                <c:ptCount val="1"/>
                <c:pt idx="0">
                  <c:v>25252.326771848402</c:v>
                </c:pt>
              </c:numCache>
            </c:numRef>
          </c:bubbleSize>
          <c:bubble3D val="1"/>
        </c:ser>
        <c:ser>
          <c:idx val="2"/>
          <c:order val="1"/>
          <c:tx>
            <c:v>Manufacturing</c:v>
          </c:tx>
          <c:spPr>
            <a:solidFill>
              <a:srgbClr val="00B050"/>
            </a:solidFill>
            <a:ln w="25400">
              <a:noFill/>
            </a:ln>
          </c:spPr>
          <c:invertIfNegative val="0"/>
          <c:xVal>
            <c:numRef>
              <c:f>'Rel. prod. cf employment2'!$B$8</c:f>
              <c:numCache>
                <c:formatCode>0.0</c:formatCode>
                <c:ptCount val="1"/>
                <c:pt idx="0">
                  <c:v>-1.3372701001196172</c:v>
                </c:pt>
              </c:numCache>
            </c:numRef>
          </c:xVal>
          <c:yVal>
            <c:numRef>
              <c:f>'Rel. prod. cf employment2'!$C$8</c:f>
              <c:numCache>
                <c:formatCode>0.0</c:formatCode>
                <c:ptCount val="1"/>
                <c:pt idx="0">
                  <c:v>0.98354124285678746</c:v>
                </c:pt>
              </c:numCache>
            </c:numRef>
          </c:yVal>
          <c:bubbleSize>
            <c:numRef>
              <c:f>'Rel. prod. cf employment2'!$E$8</c:f>
              <c:numCache>
                <c:formatCode>#,##0</c:formatCode>
                <c:ptCount val="1"/>
                <c:pt idx="0">
                  <c:v>1230.7442854796543</c:v>
                </c:pt>
              </c:numCache>
            </c:numRef>
          </c:bubbleSize>
          <c:bubble3D val="1"/>
        </c:ser>
        <c:ser>
          <c:idx val="3"/>
          <c:order val="2"/>
          <c:tx>
            <c:v>Utilities</c:v>
          </c:tx>
          <c:spPr>
            <a:solidFill>
              <a:srgbClr val="FF0000"/>
            </a:solidFill>
            <a:ln w="25400">
              <a:noFill/>
            </a:ln>
          </c:spPr>
          <c:invertIfNegative val="0"/>
          <c:xVal>
            <c:numRef>
              <c:f>'Rel. prod. cf employment2'!$B$9</c:f>
              <c:numCache>
                <c:formatCode>0.0</c:formatCode>
                <c:ptCount val="1"/>
                <c:pt idx="0">
                  <c:v>-0.17606680565369859</c:v>
                </c:pt>
              </c:numCache>
            </c:numRef>
          </c:xVal>
          <c:yVal>
            <c:numRef>
              <c:f>'Rel. prod. cf employment2'!$C$9</c:f>
              <c:numCache>
                <c:formatCode>0.0</c:formatCode>
                <c:ptCount val="1"/>
                <c:pt idx="0">
                  <c:v>0.4565227642268041</c:v>
                </c:pt>
              </c:numCache>
            </c:numRef>
          </c:yVal>
          <c:bubbleSize>
            <c:numRef>
              <c:f>'Rel. prod. cf employment2'!$E$9</c:f>
              <c:numCache>
                <c:formatCode>#,##0</c:formatCode>
                <c:ptCount val="1"/>
                <c:pt idx="0">
                  <c:v>108.75640795067596</c:v>
                </c:pt>
              </c:numCache>
            </c:numRef>
          </c:bubbleSize>
          <c:bubble3D val="1"/>
        </c:ser>
        <c:ser>
          <c:idx val="4"/>
          <c:order val="3"/>
          <c:tx>
            <c:v>Construction</c:v>
          </c:tx>
          <c:spPr>
            <a:solidFill>
              <a:srgbClr val="6600FF"/>
            </a:solidFill>
            <a:ln w="25400">
              <a:noFill/>
            </a:ln>
          </c:spPr>
          <c:invertIfNegative val="0"/>
          <c:xVal>
            <c:numRef>
              <c:f>'Rel. prod. cf employment2'!$B$10</c:f>
              <c:numCache>
                <c:formatCode>0.0</c:formatCode>
                <c:ptCount val="1"/>
                <c:pt idx="0">
                  <c:v>-0.38287493816638385</c:v>
                </c:pt>
              </c:numCache>
            </c:numRef>
          </c:xVal>
          <c:yVal>
            <c:numRef>
              <c:f>'Rel. prod. cf employment2'!$C$10</c:f>
              <c:numCache>
                <c:formatCode>0.0</c:formatCode>
                <c:ptCount val="1"/>
                <c:pt idx="0">
                  <c:v>2.5535508913515761</c:v>
                </c:pt>
              </c:numCache>
            </c:numRef>
          </c:yVal>
          <c:bubbleSize>
            <c:numRef>
              <c:f>'Rel. prod. cf employment2'!$E$10</c:f>
              <c:numCache>
                <c:formatCode>#,##0</c:formatCode>
                <c:ptCount val="1"/>
                <c:pt idx="0">
                  <c:v>278.33426217352337</c:v>
                </c:pt>
              </c:numCache>
            </c:numRef>
          </c:bubbleSize>
          <c:bubble3D val="1"/>
        </c:ser>
        <c:ser>
          <c:idx val="5"/>
          <c:order val="4"/>
          <c:tx>
            <c:v>Trade services</c:v>
          </c:tx>
          <c:spPr>
            <a:solidFill>
              <a:srgbClr val="66FFFF"/>
            </a:solidFill>
            <a:ln w="25400">
              <a:noFill/>
            </a:ln>
          </c:spPr>
          <c:invertIfNegative val="0"/>
          <c:xVal>
            <c:numRef>
              <c:f>'Rel. prod. cf employment2'!$B$11</c:f>
              <c:numCache>
                <c:formatCode>0.0</c:formatCode>
                <c:ptCount val="1"/>
                <c:pt idx="0">
                  <c:v>-8.039191836841848</c:v>
                </c:pt>
              </c:numCache>
            </c:numRef>
          </c:xVal>
          <c:yVal>
            <c:numRef>
              <c:f>'Rel. prod. cf employment2'!$C$11</c:f>
              <c:numCache>
                <c:formatCode>0.0</c:formatCode>
                <c:ptCount val="1"/>
                <c:pt idx="0">
                  <c:v>0.62576111616356134</c:v>
                </c:pt>
              </c:numCache>
            </c:numRef>
          </c:yVal>
          <c:bubbleSize>
            <c:numRef>
              <c:f>'Rel. prod. cf employment2'!$E$11</c:f>
              <c:numCache>
                <c:formatCode>#,##0</c:formatCode>
                <c:ptCount val="1"/>
                <c:pt idx="0">
                  <c:v>7486.950368890276</c:v>
                </c:pt>
              </c:numCache>
            </c:numRef>
          </c:bubbleSize>
          <c:bubble3D val="1"/>
        </c:ser>
        <c:ser>
          <c:idx val="6"/>
          <c:order val="5"/>
          <c:tx>
            <c:v>Transport services</c:v>
          </c:tx>
          <c:spPr>
            <a:solidFill>
              <a:srgbClr val="FF00FF"/>
            </a:solidFill>
            <a:ln w="25400">
              <a:noFill/>
            </a:ln>
          </c:spPr>
          <c:invertIfNegative val="0"/>
          <c:xVal>
            <c:numRef>
              <c:f>'Rel. prod. cf employment2'!$B$12</c:f>
              <c:numCache>
                <c:formatCode>0.0</c:formatCode>
                <c:ptCount val="1"/>
                <c:pt idx="0">
                  <c:v>-1.011850946462685</c:v>
                </c:pt>
              </c:numCache>
            </c:numRef>
          </c:xVal>
          <c:yVal>
            <c:numRef>
              <c:f>'Rel. prod. cf employment2'!$C$12</c:f>
              <c:numCache>
                <c:formatCode>0.0</c:formatCode>
                <c:ptCount val="1"/>
                <c:pt idx="0">
                  <c:v>0.32823822277377968</c:v>
                </c:pt>
              </c:numCache>
            </c:numRef>
          </c:yVal>
          <c:bubbleSize>
            <c:numRef>
              <c:f>'Rel. prod. cf employment2'!$E$12</c:f>
              <c:numCache>
                <c:formatCode>#,##0</c:formatCode>
                <c:ptCount val="1"/>
                <c:pt idx="0">
                  <c:v>856.57823739618379</c:v>
                </c:pt>
              </c:numCache>
            </c:numRef>
          </c:bubbleSize>
          <c:bubble3D val="1"/>
        </c:ser>
        <c:ser>
          <c:idx val="7"/>
          <c:order val="6"/>
          <c:tx>
            <c:v>Business services</c:v>
          </c:tx>
          <c:spPr>
            <a:solidFill>
              <a:srgbClr val="99FF66"/>
            </a:solidFill>
            <a:ln w="25400">
              <a:noFill/>
            </a:ln>
          </c:spPr>
          <c:invertIfNegative val="0"/>
          <c:xVal>
            <c:numRef>
              <c:f>'Rel. prod. cf employment2'!$B$13</c:f>
              <c:numCache>
                <c:formatCode>0.0</c:formatCode>
                <c:ptCount val="1"/>
                <c:pt idx="0">
                  <c:v>-0.17168706543447798</c:v>
                </c:pt>
              </c:numCache>
            </c:numRef>
          </c:xVal>
          <c:yVal>
            <c:numRef>
              <c:f>'Rel. prod. cf employment2'!$C$13</c:f>
              <c:numCache>
                <c:formatCode>0.0</c:formatCode>
                <c:ptCount val="1"/>
                <c:pt idx="0">
                  <c:v>2.5065203136117393</c:v>
                </c:pt>
              </c:numCache>
            </c:numRef>
          </c:yVal>
          <c:bubbleSize>
            <c:numRef>
              <c:f>'Rel. prod. cf employment2'!$E$13</c:f>
              <c:numCache>
                <c:formatCode>#,##0</c:formatCode>
                <c:ptCount val="1"/>
                <c:pt idx="0">
                  <c:v>249.60392986656524</c:v>
                </c:pt>
              </c:numCache>
            </c:numRef>
          </c:bubbleSize>
          <c:bubble3D val="1"/>
        </c:ser>
        <c:ser>
          <c:idx val="8"/>
          <c:order val="7"/>
          <c:tx>
            <c:v>Govt services</c:v>
          </c:tx>
          <c:spPr>
            <a:solidFill>
              <a:srgbClr val="984807"/>
            </a:solidFill>
            <a:ln w="25400">
              <a:noFill/>
            </a:ln>
          </c:spPr>
          <c:invertIfNegative val="0"/>
          <c:xVal>
            <c:numRef>
              <c:f>'Rel. prod. cf employment2'!$B$14</c:f>
              <c:numCache>
                <c:formatCode>0.0</c:formatCode>
                <c:ptCount val="1"/>
                <c:pt idx="0">
                  <c:v>-2.069740437079961</c:v>
                </c:pt>
              </c:numCache>
            </c:numRef>
          </c:xVal>
          <c:yVal>
            <c:numRef>
              <c:f>'Rel. prod. cf employment2'!$C$14</c:f>
              <c:numCache>
                <c:formatCode>0.0</c:formatCode>
                <c:ptCount val="1"/>
                <c:pt idx="0">
                  <c:v>0.2906237684558633</c:v>
                </c:pt>
              </c:numCache>
            </c:numRef>
          </c:yVal>
          <c:bubbleSize>
            <c:numRef>
              <c:f>'Rel. prod. cf employment2'!$E$14</c:f>
              <c:numCache>
                <c:formatCode>#,##0</c:formatCode>
                <c:ptCount val="1"/>
                <c:pt idx="0">
                  <c:v>1667.3700331579614</c:v>
                </c:pt>
              </c:numCache>
            </c:numRef>
          </c:bubbleSize>
          <c:bubble3D val="1"/>
        </c:ser>
        <c:ser>
          <c:idx val="9"/>
          <c:order val="8"/>
          <c:tx>
            <c:v>Personal services</c:v>
          </c:tx>
          <c:spPr>
            <a:solidFill>
              <a:srgbClr val="9999FF"/>
            </a:solidFill>
            <a:ln w="25400">
              <a:noFill/>
            </a:ln>
          </c:spPr>
          <c:invertIfNegative val="0"/>
          <c:xVal>
            <c:numRef>
              <c:f>'Rel. prod. cf employment2'!$B$15</c:f>
              <c:numCache>
                <c:formatCode>0.0</c:formatCode>
                <c:ptCount val="1"/>
                <c:pt idx="0">
                  <c:v>-0.13946978328613291</c:v>
                </c:pt>
              </c:numCache>
            </c:numRef>
          </c:xVal>
          <c:yVal>
            <c:numRef>
              <c:f>'Rel. prod. cf employment2'!$C$15</c:f>
              <c:numCache>
                <c:formatCode>0.0</c:formatCode>
                <c:ptCount val="1"/>
                <c:pt idx="0">
                  <c:v>0.14684533263653782</c:v>
                </c:pt>
              </c:numCache>
            </c:numRef>
          </c:yVal>
          <c:bubbleSize>
            <c:numRef>
              <c:f>'Rel. prod. cf employment2'!$E$15</c:f>
              <c:numCache>
                <c:formatCode>#,##0</c:formatCode>
                <c:ptCount val="1"/>
                <c:pt idx="0">
                  <c:v>2492.304324785111</c:v>
                </c:pt>
              </c:numCache>
            </c:numRef>
          </c:bubbleSize>
          <c:bubble3D val="1"/>
        </c:ser>
        <c:dLbls>
          <c:showLegendKey val="0"/>
          <c:showVal val="0"/>
          <c:showCatName val="0"/>
          <c:showSerName val="0"/>
          <c:showPercent val="0"/>
          <c:showBubbleSize val="0"/>
        </c:dLbls>
        <c:bubbleScale val="100"/>
        <c:showNegBubbles val="0"/>
        <c:axId val="436378240"/>
        <c:axId val="458254208"/>
      </c:bubbleChart>
      <c:valAx>
        <c:axId val="436378240"/>
        <c:scaling>
          <c:orientation val="minMax"/>
          <c:min val="-10"/>
        </c:scaling>
        <c:delete val="0"/>
        <c:axPos val="b"/>
        <c:title>
          <c:tx>
            <c:rich>
              <a:bodyPr/>
              <a:lstStyle/>
              <a:p>
                <a:pPr>
                  <a:defRPr sz="800" b="0"/>
                </a:pPr>
                <a:r>
                  <a:rPr lang="en-US" sz="800" b="0"/>
                  <a:t>Percentage point change in share of persons engaged, 1990-2000</a:t>
                </a:r>
              </a:p>
            </c:rich>
          </c:tx>
          <c:layout/>
          <c:overlay val="0"/>
        </c:title>
        <c:numFmt formatCode="0" sourceLinked="0"/>
        <c:majorTickMark val="out"/>
        <c:minorTickMark val="none"/>
        <c:tickLblPos val="low"/>
        <c:crossAx val="458254208"/>
        <c:crosses val="autoZero"/>
        <c:crossBetween val="midCat"/>
      </c:valAx>
      <c:valAx>
        <c:axId val="458254208"/>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 sourceLinked="0"/>
        <c:majorTickMark val="out"/>
        <c:minorTickMark val="none"/>
        <c:tickLblPos val="low"/>
        <c:crossAx val="4363782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employment2'!$B$22</c:f>
              <c:numCache>
                <c:formatCode>0.0</c:formatCode>
                <c:ptCount val="1"/>
                <c:pt idx="0">
                  <c:v>-1.2764549950899777</c:v>
                </c:pt>
              </c:numCache>
            </c:numRef>
          </c:xVal>
          <c:yVal>
            <c:numRef>
              <c:f>'Rel. prod. cf employment2'!$C$22</c:f>
              <c:numCache>
                <c:formatCode>0.0</c:formatCode>
                <c:ptCount val="1"/>
                <c:pt idx="0">
                  <c:v>0.56369652529072545</c:v>
                </c:pt>
              </c:numCache>
            </c:numRef>
          </c:yVal>
          <c:bubbleSize>
            <c:numRef>
              <c:f>'Rel. prod. cf employment2'!$E$22</c:f>
              <c:numCache>
                <c:formatCode>#,##0</c:formatCode>
                <c:ptCount val="1"/>
                <c:pt idx="0">
                  <c:v>28151.968488942326</c:v>
                </c:pt>
              </c:numCache>
            </c:numRef>
          </c:bubbleSize>
          <c:bubble3D val="1"/>
        </c:ser>
        <c:ser>
          <c:idx val="2"/>
          <c:order val="1"/>
          <c:tx>
            <c:v>Manufacturing</c:v>
          </c:tx>
          <c:spPr>
            <a:solidFill>
              <a:srgbClr val="00B050"/>
            </a:solidFill>
            <a:ln w="25400">
              <a:noFill/>
            </a:ln>
          </c:spPr>
          <c:invertIfNegative val="0"/>
          <c:xVal>
            <c:numRef>
              <c:f>'Rel. prod. cf employment2'!$B$24</c:f>
              <c:numCache>
                <c:formatCode>0.0</c:formatCode>
                <c:ptCount val="1"/>
                <c:pt idx="0">
                  <c:v>0.53921853641774575</c:v>
                </c:pt>
              </c:numCache>
            </c:numRef>
          </c:xVal>
          <c:yVal>
            <c:numRef>
              <c:f>'Rel. prod. cf employment2'!$C$24</c:f>
              <c:numCache>
                <c:formatCode>0.0</c:formatCode>
                <c:ptCount val="1"/>
                <c:pt idx="0">
                  <c:v>0.82252548626434663</c:v>
                </c:pt>
              </c:numCache>
            </c:numRef>
          </c:yVal>
          <c:bubbleSize>
            <c:numRef>
              <c:f>'Rel. prod. cf employment2'!$E$24</c:f>
              <c:numCache>
                <c:formatCode>#,##0</c:formatCode>
                <c:ptCount val="1"/>
                <c:pt idx="0">
                  <c:v>1643.3617449964418</c:v>
                </c:pt>
              </c:numCache>
            </c:numRef>
          </c:bubbleSize>
          <c:bubble3D val="1"/>
        </c:ser>
        <c:ser>
          <c:idx val="3"/>
          <c:order val="2"/>
          <c:tx>
            <c:v>Utilities</c:v>
          </c:tx>
          <c:spPr>
            <a:solidFill>
              <a:srgbClr val="FF0000"/>
            </a:solidFill>
            <a:ln w="25400">
              <a:noFill/>
            </a:ln>
          </c:spPr>
          <c:invertIfNegative val="0"/>
          <c:xVal>
            <c:numRef>
              <c:f>'Rel. prod. cf employment2'!$B$25</c:f>
              <c:numCache>
                <c:formatCode>0.0</c:formatCode>
                <c:ptCount val="1"/>
                <c:pt idx="0">
                  <c:v>3.5927303159255797E-2</c:v>
                </c:pt>
              </c:numCache>
            </c:numRef>
          </c:xVal>
          <c:yVal>
            <c:numRef>
              <c:f>'Rel. prod. cf employment2'!$C$25</c:f>
              <c:numCache>
                <c:formatCode>0.0</c:formatCode>
                <c:ptCount val="1"/>
                <c:pt idx="0">
                  <c:v>0.48618249796775281</c:v>
                </c:pt>
              </c:numCache>
            </c:numRef>
          </c:yVal>
          <c:bubbleSize>
            <c:numRef>
              <c:f>'Rel. prod. cf employment2'!$E$25</c:f>
              <c:numCache>
                <c:formatCode>#,##0</c:formatCode>
                <c:ptCount val="1"/>
                <c:pt idx="0">
                  <c:v>139.93055070184144</c:v>
                </c:pt>
              </c:numCache>
            </c:numRef>
          </c:bubbleSize>
          <c:bubble3D val="1"/>
        </c:ser>
        <c:ser>
          <c:idx val="4"/>
          <c:order val="3"/>
          <c:tx>
            <c:v>Construction</c:v>
          </c:tx>
          <c:spPr>
            <a:solidFill>
              <a:srgbClr val="6600FF"/>
            </a:solidFill>
            <a:ln w="25400">
              <a:noFill/>
            </a:ln>
          </c:spPr>
          <c:invertIfNegative val="0"/>
          <c:xVal>
            <c:numRef>
              <c:f>'Rel. prod. cf employment2'!$B$26</c:f>
              <c:numCache>
                <c:formatCode>0.0</c:formatCode>
                <c:ptCount val="1"/>
                <c:pt idx="0">
                  <c:v>0.21565195370352408</c:v>
                </c:pt>
              </c:numCache>
            </c:numRef>
          </c:xVal>
          <c:yVal>
            <c:numRef>
              <c:f>'Rel. prod. cf employment2'!$C$26</c:f>
              <c:numCache>
                <c:formatCode>0.0</c:formatCode>
                <c:ptCount val="1"/>
                <c:pt idx="0">
                  <c:v>1.6684097614088083</c:v>
                </c:pt>
              </c:numCache>
            </c:numRef>
          </c:yVal>
          <c:bubbleSize>
            <c:numRef>
              <c:f>'Rel. prod. cf employment2'!$E$26</c:f>
              <c:numCache>
                <c:formatCode>#,##0</c:formatCode>
                <c:ptCount val="1"/>
                <c:pt idx="0">
                  <c:v>413.9178709145566</c:v>
                </c:pt>
              </c:numCache>
            </c:numRef>
          </c:bubbleSize>
          <c:bubble3D val="1"/>
        </c:ser>
        <c:ser>
          <c:idx val="5"/>
          <c:order val="4"/>
          <c:tx>
            <c:v>Trade services</c:v>
          </c:tx>
          <c:spPr>
            <a:solidFill>
              <a:srgbClr val="66FFFF"/>
            </a:solidFill>
            <a:ln w="25400">
              <a:noFill/>
            </a:ln>
          </c:spPr>
          <c:invertIfNegative val="0"/>
          <c:xVal>
            <c:numRef>
              <c:f>'Rel. prod. cf employment2'!$B$27</c:f>
              <c:numCache>
                <c:formatCode>0.0</c:formatCode>
                <c:ptCount val="1"/>
                <c:pt idx="0">
                  <c:v>-1.1845180468648877</c:v>
                </c:pt>
              </c:numCache>
            </c:numRef>
          </c:xVal>
          <c:yVal>
            <c:numRef>
              <c:f>'Rel. prod. cf employment2'!$C$27</c:f>
              <c:numCache>
                <c:formatCode>0.0</c:formatCode>
                <c:ptCount val="1"/>
                <c:pt idx="0">
                  <c:v>0.77791672474836315</c:v>
                </c:pt>
              </c:numCache>
            </c:numRef>
          </c:yVal>
          <c:bubbleSize>
            <c:numRef>
              <c:f>'Rel. prod. cf employment2'!$E$27</c:f>
              <c:numCache>
                <c:formatCode>#,##0</c:formatCode>
                <c:ptCount val="1"/>
                <c:pt idx="0">
                  <c:v>7983.0486505139115</c:v>
                </c:pt>
              </c:numCache>
            </c:numRef>
          </c:bubbleSize>
          <c:bubble3D val="1"/>
        </c:ser>
        <c:ser>
          <c:idx val="6"/>
          <c:order val="5"/>
          <c:tx>
            <c:v>Transport services</c:v>
          </c:tx>
          <c:spPr>
            <a:solidFill>
              <a:srgbClr val="FF00FF"/>
            </a:solidFill>
            <a:ln w="25400">
              <a:noFill/>
            </a:ln>
          </c:spPr>
          <c:invertIfNegative val="0"/>
          <c:xVal>
            <c:numRef>
              <c:f>'Rel. prod. cf employment2'!$B$28</c:f>
              <c:numCache>
                <c:formatCode>0.0</c:formatCode>
                <c:ptCount val="1"/>
                <c:pt idx="0">
                  <c:v>0.65994261996806935</c:v>
                </c:pt>
              </c:numCache>
            </c:numRef>
          </c:xVal>
          <c:yVal>
            <c:numRef>
              <c:f>'Rel. prod. cf employment2'!$C$28</c:f>
              <c:numCache>
                <c:formatCode>0.0</c:formatCode>
                <c:ptCount val="1"/>
                <c:pt idx="0">
                  <c:v>0.46540416766084425</c:v>
                </c:pt>
              </c:numCache>
            </c:numRef>
          </c:yVal>
          <c:bubbleSize>
            <c:numRef>
              <c:f>'Rel. prod. cf employment2'!$E$28</c:f>
              <c:numCache>
                <c:formatCode>#,##0</c:formatCode>
                <c:ptCount val="1"/>
                <c:pt idx="0">
                  <c:v>1272.1565617675346</c:v>
                </c:pt>
              </c:numCache>
            </c:numRef>
          </c:bubbleSize>
          <c:bubble3D val="1"/>
        </c:ser>
        <c:ser>
          <c:idx val="7"/>
          <c:order val="6"/>
          <c:tx>
            <c:v>Business services</c:v>
          </c:tx>
          <c:spPr>
            <a:solidFill>
              <a:srgbClr val="99FF66"/>
            </a:solidFill>
            <a:ln w="25400">
              <a:noFill/>
            </a:ln>
          </c:spPr>
          <c:invertIfNegative val="0"/>
          <c:xVal>
            <c:numRef>
              <c:f>'Rel. prod. cf employment2'!$B$29</c:f>
              <c:numCache>
                <c:formatCode>0.0</c:formatCode>
                <c:ptCount val="1"/>
                <c:pt idx="0">
                  <c:v>0.66763592993018017</c:v>
                </c:pt>
              </c:numCache>
            </c:numRef>
          </c:xVal>
          <c:yVal>
            <c:numRef>
              <c:f>'Rel. prod. cf employment2'!$C$29</c:f>
              <c:numCache>
                <c:formatCode>0.0</c:formatCode>
                <c:ptCount val="1"/>
                <c:pt idx="0">
                  <c:v>0.90123275285779447</c:v>
                </c:pt>
              </c:numCache>
            </c:numRef>
          </c:yVal>
          <c:bubbleSize>
            <c:numRef>
              <c:f>'Rel. prod. cf employment2'!$E$29</c:f>
              <c:numCache>
                <c:formatCode>#,##0</c:formatCode>
                <c:ptCount val="1"/>
                <c:pt idx="0">
                  <c:v>585.11586897035261</c:v>
                </c:pt>
              </c:numCache>
            </c:numRef>
          </c:bubbleSize>
          <c:bubble3D val="1"/>
        </c:ser>
        <c:ser>
          <c:idx val="8"/>
          <c:order val="7"/>
          <c:tx>
            <c:v>Govt services</c:v>
          </c:tx>
          <c:spPr>
            <a:solidFill>
              <a:srgbClr val="984807"/>
            </a:solidFill>
            <a:ln w="25400">
              <a:noFill/>
            </a:ln>
          </c:spPr>
          <c:invertIfNegative val="0"/>
          <c:xVal>
            <c:numRef>
              <c:f>'Rel. prod. cf employment2'!$B$30</c:f>
              <c:numCache>
                <c:formatCode>0.0</c:formatCode>
                <c:ptCount val="1"/>
                <c:pt idx="0">
                  <c:v>7.2247067534729759E-2</c:v>
                </c:pt>
              </c:numCache>
            </c:numRef>
          </c:xVal>
          <c:yVal>
            <c:numRef>
              <c:f>'Rel. prod. cf employment2'!$C$30</c:f>
              <c:numCache>
                <c:formatCode>0.0</c:formatCode>
                <c:ptCount val="1"/>
                <c:pt idx="0">
                  <c:v>0.25540209832600202</c:v>
                </c:pt>
              </c:numCache>
            </c:numRef>
          </c:yVal>
          <c:bubbleSize>
            <c:numRef>
              <c:f>'Rel. prod. cf employment2'!$E$30</c:f>
              <c:numCache>
                <c:formatCode>#,##0</c:formatCode>
                <c:ptCount val="1"/>
                <c:pt idx="0">
                  <c:v>1929.4364176062641</c:v>
                </c:pt>
              </c:numCache>
            </c:numRef>
          </c:bubbleSize>
          <c:bubble3D val="1"/>
        </c:ser>
        <c:ser>
          <c:idx val="9"/>
          <c:order val="8"/>
          <c:tx>
            <c:v>Personal services</c:v>
          </c:tx>
          <c:spPr>
            <a:solidFill>
              <a:srgbClr val="9999FF"/>
            </a:solidFill>
            <a:ln w="25400">
              <a:noFill/>
            </a:ln>
          </c:spPr>
          <c:invertIfNegative val="0"/>
          <c:xVal>
            <c:numRef>
              <c:f>'Rel. prod. cf employment2'!$B$31</c:f>
              <c:numCache>
                <c:formatCode>0.0</c:formatCode>
                <c:ptCount val="1"/>
                <c:pt idx="0">
                  <c:v>0.18839112603402697</c:v>
                </c:pt>
              </c:numCache>
            </c:numRef>
          </c:xVal>
          <c:yVal>
            <c:numRef>
              <c:f>'Rel. prod. cf employment2'!$C$31</c:f>
              <c:numCache>
                <c:formatCode>0.0</c:formatCode>
                <c:ptCount val="1"/>
                <c:pt idx="0">
                  <c:v>0.14396176367864383</c:v>
                </c:pt>
              </c:numCache>
            </c:numRef>
          </c:yVal>
          <c:bubbleSize>
            <c:numRef>
              <c:f>'Rel. prod. cf employment2'!$E$31</c:f>
              <c:numCache>
                <c:formatCode>#,##0</c:formatCode>
                <c:ptCount val="1"/>
                <c:pt idx="0">
                  <c:v>2920.2954796358131</c:v>
                </c:pt>
              </c:numCache>
            </c:numRef>
          </c:bubbleSize>
          <c:bubble3D val="1"/>
        </c:ser>
        <c:dLbls>
          <c:showLegendKey val="0"/>
          <c:showVal val="0"/>
          <c:showCatName val="0"/>
          <c:showSerName val="0"/>
          <c:showPercent val="0"/>
          <c:showBubbleSize val="0"/>
        </c:dLbls>
        <c:bubbleScale val="100"/>
        <c:showNegBubbles val="0"/>
        <c:axId val="523266304"/>
        <c:axId val="523653504"/>
      </c:bubbleChart>
      <c:valAx>
        <c:axId val="523266304"/>
        <c:scaling>
          <c:orientation val="minMax"/>
          <c:max val="3"/>
          <c:min val="-3"/>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523653504"/>
        <c:crosses val="autoZero"/>
        <c:crossBetween val="midCat"/>
      </c:valAx>
      <c:valAx>
        <c:axId val="523653504"/>
        <c:scaling>
          <c:orientation val="minMax"/>
          <c:max val="2"/>
          <c:min val="0"/>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52326630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employment2'!$B$39</c:f>
              <c:numCache>
                <c:formatCode>0.0</c:formatCode>
                <c:ptCount val="1"/>
                <c:pt idx="0">
                  <c:v>-1.7498989715184408</c:v>
                </c:pt>
              </c:numCache>
            </c:numRef>
          </c:xVal>
          <c:yVal>
            <c:numRef>
              <c:f>'Rel. prod. cf employment2'!$C$39</c:f>
              <c:numCache>
                <c:formatCode>0.0</c:formatCode>
                <c:ptCount val="1"/>
                <c:pt idx="0">
                  <c:v>0.62105167328679434</c:v>
                </c:pt>
              </c:numCache>
            </c:numRef>
          </c:yVal>
          <c:bubbleSize>
            <c:numRef>
              <c:f>'Rel. prod. cf employment2'!$E$39</c:f>
              <c:numCache>
                <c:formatCode>#,##0</c:formatCode>
                <c:ptCount val="1"/>
                <c:pt idx="0">
                  <c:v>31587.173719515748</c:v>
                </c:pt>
              </c:numCache>
            </c:numRef>
          </c:bubbleSize>
          <c:bubble3D val="1"/>
        </c:ser>
        <c:ser>
          <c:idx val="2"/>
          <c:order val="1"/>
          <c:tx>
            <c:v>Manufacturing</c:v>
          </c:tx>
          <c:spPr>
            <a:solidFill>
              <a:srgbClr val="00B050"/>
            </a:solidFill>
            <a:ln w="25400">
              <a:noFill/>
            </a:ln>
          </c:spPr>
          <c:invertIfNegative val="0"/>
          <c:xVal>
            <c:numRef>
              <c:f>'Rel. prod. cf employment2'!$B$41</c:f>
              <c:numCache>
                <c:formatCode>0.0</c:formatCode>
                <c:ptCount val="1"/>
                <c:pt idx="0">
                  <c:v>0.53751880154579501</c:v>
                </c:pt>
              </c:numCache>
            </c:numRef>
          </c:xVal>
          <c:yVal>
            <c:numRef>
              <c:f>'Rel. prod. cf employment2'!$C$41</c:f>
              <c:numCache>
                <c:formatCode>0.0</c:formatCode>
                <c:ptCount val="1"/>
                <c:pt idx="0">
                  <c:v>0.84789077525488654</c:v>
                </c:pt>
              </c:numCache>
            </c:numRef>
          </c:yVal>
          <c:bubbleSize>
            <c:numRef>
              <c:f>'Rel. prod. cf employment2'!$E$41</c:f>
              <c:numCache>
                <c:formatCode>#,##0</c:formatCode>
                <c:ptCount val="1"/>
                <c:pt idx="0">
                  <c:v>2176.9832314630107</c:v>
                </c:pt>
              </c:numCache>
            </c:numRef>
          </c:bubbleSize>
          <c:bubble3D val="1"/>
        </c:ser>
        <c:ser>
          <c:idx val="3"/>
          <c:order val="2"/>
          <c:tx>
            <c:v>Utilities</c:v>
          </c:tx>
          <c:spPr>
            <a:solidFill>
              <a:srgbClr val="FF0000"/>
            </a:solidFill>
            <a:ln w="25400">
              <a:noFill/>
            </a:ln>
          </c:spPr>
          <c:invertIfNegative val="0"/>
          <c:xVal>
            <c:numRef>
              <c:f>'Rel. prod. cf employment2'!$B$42</c:f>
              <c:numCache>
                <c:formatCode>0.0</c:formatCode>
                <c:ptCount val="1"/>
                <c:pt idx="0">
                  <c:v>-8.5529793676747262E-2</c:v>
                </c:pt>
              </c:numCache>
            </c:numRef>
          </c:xVal>
          <c:yVal>
            <c:numRef>
              <c:f>'Rel. prod. cf employment2'!$C$42</c:f>
              <c:numCache>
                <c:formatCode>0.0</c:formatCode>
                <c:ptCount val="1"/>
                <c:pt idx="0">
                  <c:v>0.63821934236570388</c:v>
                </c:pt>
              </c:numCache>
            </c:numRef>
          </c:yVal>
          <c:bubbleSize>
            <c:numRef>
              <c:f>'Rel. prod. cf employment2'!$E$42</c:f>
              <c:numCache>
                <c:formatCode>#,##0</c:formatCode>
                <c:ptCount val="1"/>
                <c:pt idx="0">
                  <c:v>116.99698637672748</c:v>
                </c:pt>
              </c:numCache>
            </c:numRef>
          </c:bubbleSize>
          <c:bubble3D val="1"/>
        </c:ser>
        <c:ser>
          <c:idx val="4"/>
          <c:order val="3"/>
          <c:tx>
            <c:v>Construction</c:v>
          </c:tx>
          <c:spPr>
            <a:solidFill>
              <a:srgbClr val="6600FF"/>
            </a:solidFill>
            <a:ln w="25400">
              <a:noFill/>
            </a:ln>
          </c:spPr>
          <c:invertIfNegative val="0"/>
          <c:xVal>
            <c:numRef>
              <c:f>'Rel. prod. cf employment2'!$B$43</c:f>
              <c:numCache>
                <c:formatCode>0.0</c:formatCode>
                <c:ptCount val="1"/>
                <c:pt idx="0">
                  <c:v>0.69225854100321482</c:v>
                </c:pt>
              </c:numCache>
            </c:numRef>
          </c:xVal>
          <c:yVal>
            <c:numRef>
              <c:f>'Rel. prod. cf employment2'!$C$43</c:f>
              <c:numCache>
                <c:formatCode>0.0</c:formatCode>
                <c:ptCount val="1"/>
                <c:pt idx="0">
                  <c:v>1.3436763884249339</c:v>
                </c:pt>
              </c:numCache>
            </c:numRef>
          </c:yVal>
          <c:bubbleSize>
            <c:numRef>
              <c:f>'Rel. prod. cf employment2'!$E$43</c:f>
              <c:numCache>
                <c:formatCode>#,##0</c:formatCode>
                <c:ptCount val="1"/>
                <c:pt idx="0">
                  <c:v>838.30080361690909</c:v>
                </c:pt>
              </c:numCache>
            </c:numRef>
          </c:bubbleSize>
          <c:bubble3D val="1"/>
        </c:ser>
        <c:ser>
          <c:idx val="5"/>
          <c:order val="4"/>
          <c:tx>
            <c:v>Trade services</c:v>
          </c:tx>
          <c:spPr>
            <a:solidFill>
              <a:srgbClr val="66FFFF"/>
            </a:solidFill>
            <a:ln w="25400">
              <a:noFill/>
            </a:ln>
          </c:spPr>
          <c:invertIfNegative val="0"/>
          <c:xVal>
            <c:numRef>
              <c:f>'Rel. prod. cf employment2'!$B$44</c:f>
              <c:numCache>
                <c:formatCode>0.0</c:formatCode>
                <c:ptCount val="1"/>
                <c:pt idx="0">
                  <c:v>-0.77866916328447999</c:v>
                </c:pt>
              </c:numCache>
            </c:numRef>
          </c:xVal>
          <c:yVal>
            <c:numRef>
              <c:f>'Rel. prod. cf employment2'!$C$44</c:f>
              <c:numCache>
                <c:formatCode>0.0</c:formatCode>
                <c:ptCount val="1"/>
                <c:pt idx="0">
                  <c:v>1.1917268546152944</c:v>
                </c:pt>
              </c:numCache>
            </c:numRef>
          </c:yVal>
          <c:bubbleSize>
            <c:numRef>
              <c:f>'Rel. prod. cf employment2'!$E$44</c:f>
              <c:numCache>
                <c:formatCode>#,##0</c:formatCode>
                <c:ptCount val="1"/>
                <c:pt idx="0">
                  <c:v>8810.0895866335431</c:v>
                </c:pt>
              </c:numCache>
            </c:numRef>
          </c:bubbleSize>
          <c:bubble3D val="1"/>
        </c:ser>
        <c:ser>
          <c:idx val="6"/>
          <c:order val="5"/>
          <c:tx>
            <c:v>Transport services</c:v>
          </c:tx>
          <c:spPr>
            <a:solidFill>
              <a:srgbClr val="FF00FF"/>
            </a:solidFill>
            <a:ln w="25400">
              <a:noFill/>
            </a:ln>
          </c:spPr>
          <c:invertIfNegative val="0"/>
          <c:xVal>
            <c:numRef>
              <c:f>'Rel. prod. cf employment2'!$B$45</c:f>
              <c:numCache>
                <c:formatCode>0.0</c:formatCode>
                <c:ptCount val="1"/>
                <c:pt idx="0">
                  <c:v>0.22589914650085063</c:v>
                </c:pt>
              </c:numCache>
            </c:numRef>
          </c:xVal>
          <c:yVal>
            <c:numRef>
              <c:f>'Rel. prod. cf employment2'!$C$45</c:f>
              <c:numCache>
                <c:formatCode>0.0</c:formatCode>
                <c:ptCount val="1"/>
                <c:pt idx="0">
                  <c:v>0.66335814048441866</c:v>
                </c:pt>
              </c:numCache>
            </c:numRef>
          </c:yVal>
          <c:bubbleSize>
            <c:numRef>
              <c:f>'Rel. prod. cf employment2'!$E$45</c:f>
              <c:numCache>
                <c:formatCode>#,##0</c:formatCode>
                <c:ptCount val="1"/>
                <c:pt idx="0">
                  <c:v>1586.1984382513363</c:v>
                </c:pt>
              </c:numCache>
            </c:numRef>
          </c:bubbleSize>
          <c:bubble3D val="1"/>
        </c:ser>
        <c:ser>
          <c:idx val="7"/>
          <c:order val="6"/>
          <c:tx>
            <c:v>Business services</c:v>
          </c:tx>
          <c:spPr>
            <a:solidFill>
              <a:srgbClr val="99FF66"/>
            </a:solidFill>
            <a:ln w="25400">
              <a:noFill/>
            </a:ln>
          </c:spPr>
          <c:invertIfNegative val="0"/>
          <c:xVal>
            <c:numRef>
              <c:f>'Rel. prod. cf employment2'!$B$46</c:f>
              <c:numCache>
                <c:formatCode>0.0</c:formatCode>
                <c:ptCount val="1"/>
                <c:pt idx="0">
                  <c:v>1.4570582481417138</c:v>
                </c:pt>
              </c:numCache>
            </c:numRef>
          </c:xVal>
          <c:yVal>
            <c:numRef>
              <c:f>'Rel. prod. cf employment2'!$C$46</c:f>
              <c:numCache>
                <c:formatCode>0.0</c:formatCode>
                <c:ptCount val="1"/>
                <c:pt idx="0">
                  <c:v>0.81120734783262138</c:v>
                </c:pt>
              </c:numCache>
            </c:numRef>
          </c:yVal>
          <c:bubbleSize>
            <c:numRef>
              <c:f>'Rel. prod. cf employment2'!$E$46</c:f>
              <c:numCache>
                <c:formatCode>#,##0</c:formatCode>
                <c:ptCount val="1"/>
                <c:pt idx="0">
                  <c:v>1434.181976167966</c:v>
                </c:pt>
              </c:numCache>
            </c:numRef>
          </c:bubbleSize>
          <c:bubble3D val="1"/>
        </c:ser>
        <c:ser>
          <c:idx val="8"/>
          <c:order val="7"/>
          <c:tx>
            <c:v>Govt services</c:v>
          </c:tx>
          <c:spPr>
            <a:solidFill>
              <a:srgbClr val="984807"/>
            </a:solidFill>
            <a:ln w="25400">
              <a:noFill/>
            </a:ln>
          </c:spPr>
          <c:invertIfNegative val="0"/>
          <c:xVal>
            <c:numRef>
              <c:f>'Rel. prod. cf employment2'!$B$47</c:f>
              <c:numCache>
                <c:formatCode>0.0</c:formatCode>
                <c:ptCount val="1"/>
                <c:pt idx="0">
                  <c:v>3.6399387853824017E-2</c:v>
                </c:pt>
              </c:numCache>
            </c:numRef>
          </c:xVal>
          <c:yVal>
            <c:numRef>
              <c:f>'Rel. prod. cf employment2'!$C$47</c:f>
              <c:numCache>
                <c:formatCode>0.0</c:formatCode>
                <c:ptCount val="1"/>
                <c:pt idx="0">
                  <c:v>0.26128147719636829</c:v>
                </c:pt>
              </c:numCache>
            </c:numRef>
          </c:yVal>
          <c:bubbleSize>
            <c:numRef>
              <c:f>'Rel. prod. cf employment2'!$E$47</c:f>
              <c:numCache>
                <c:formatCode>#,##0</c:formatCode>
                <c:ptCount val="1"/>
                <c:pt idx="0">
                  <c:v>2246.279119770013</c:v>
                </c:pt>
              </c:numCache>
            </c:numRef>
          </c:bubbleSize>
          <c:bubble3D val="1"/>
        </c:ser>
        <c:ser>
          <c:idx val="9"/>
          <c:order val="8"/>
          <c:tx>
            <c:v>Personal services</c:v>
          </c:tx>
          <c:spPr>
            <a:solidFill>
              <a:srgbClr val="9999FF"/>
            </a:solidFill>
            <a:ln w="25400">
              <a:noFill/>
            </a:ln>
          </c:spPr>
          <c:invertIfNegative val="0"/>
          <c:xVal>
            <c:numRef>
              <c:f>'Rel. prod. cf employment2'!$B$48</c:f>
              <c:numCache>
                <c:formatCode>0.0</c:formatCode>
                <c:ptCount val="1"/>
                <c:pt idx="0">
                  <c:v>-0.4137606816101842</c:v>
                </c:pt>
              </c:numCache>
            </c:numRef>
          </c:xVal>
          <c:yVal>
            <c:numRef>
              <c:f>'Rel. prod. cf employment2'!$C$48</c:f>
              <c:numCache>
                <c:formatCode>0.0</c:formatCode>
                <c:ptCount val="1"/>
                <c:pt idx="0">
                  <c:v>0.19629936082244806</c:v>
                </c:pt>
              </c:numCache>
            </c:numRef>
          </c:yVal>
          <c:bubbleSize>
            <c:numRef>
              <c:f>'Rel. prod. cf employment2'!$E$48</c:f>
              <c:numCache>
                <c:formatCode>#,##0</c:formatCode>
                <c:ptCount val="1"/>
                <c:pt idx="0">
                  <c:v>3155.7080043319474</c:v>
                </c:pt>
              </c:numCache>
            </c:numRef>
          </c:bubbleSize>
          <c:bubble3D val="1"/>
        </c:ser>
        <c:dLbls>
          <c:showLegendKey val="0"/>
          <c:showVal val="0"/>
          <c:showCatName val="0"/>
          <c:showSerName val="0"/>
          <c:showPercent val="0"/>
          <c:showBubbleSize val="0"/>
        </c:dLbls>
        <c:bubbleScale val="100"/>
        <c:showNegBubbles val="0"/>
        <c:axId val="524696960"/>
        <c:axId val="524944896"/>
      </c:bubbleChart>
      <c:valAx>
        <c:axId val="524696960"/>
        <c:scaling>
          <c:orientation val="minMax"/>
          <c:max val="2"/>
          <c:min val="-2"/>
        </c:scaling>
        <c:delete val="0"/>
        <c:axPos val="b"/>
        <c:title>
          <c:tx>
            <c:rich>
              <a:bodyPr/>
              <a:lstStyle/>
              <a:p>
                <a:pPr>
                  <a:defRPr sz="800" b="0"/>
                </a:pPr>
                <a:r>
                  <a:rPr lang="en-US" sz="800" b="0"/>
                  <a:t>Percentage point change in share of persons engaged, 2005-10</a:t>
                </a:r>
              </a:p>
            </c:rich>
          </c:tx>
          <c:layout/>
          <c:overlay val="0"/>
        </c:title>
        <c:numFmt formatCode="0.0" sourceLinked="1"/>
        <c:majorTickMark val="out"/>
        <c:minorTickMark val="none"/>
        <c:tickLblPos val="low"/>
        <c:crossAx val="524944896"/>
        <c:crosses val="autoZero"/>
        <c:crossBetween val="midCat"/>
        <c:majorUnit val="0.5"/>
      </c:valAx>
      <c:valAx>
        <c:axId val="524944896"/>
        <c:scaling>
          <c:orientation val="minMax"/>
          <c:max val="2"/>
          <c:min val="0"/>
        </c:scaling>
        <c:delete val="0"/>
        <c:axPos val="l"/>
        <c:majorGridlines/>
        <c:title>
          <c:tx>
            <c:rich>
              <a:bodyPr rot="-5400000" vert="horz"/>
              <a:lstStyle/>
              <a:p>
                <a:pPr>
                  <a:defRPr sz="800" b="0"/>
                </a:pPr>
                <a:r>
                  <a:rPr lang="en-US" sz="800" b="0"/>
                  <a:t>Relative productivity level, 2010</a:t>
                </a:r>
              </a:p>
            </c:rich>
          </c:tx>
          <c:layout/>
          <c:overlay val="0"/>
        </c:title>
        <c:numFmt formatCode="0.0" sourceLinked="1"/>
        <c:majorTickMark val="out"/>
        <c:minorTickMark val="none"/>
        <c:tickLblPos val="low"/>
        <c:crossAx val="524696960"/>
        <c:crosses val="autoZero"/>
        <c:crossBetween val="midCat"/>
        <c:majorUnit val="0.5"/>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17</xdr:col>
      <xdr:colOff>211680</xdr:colOff>
      <xdr:row>17</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19</xdr:row>
      <xdr:rowOff>0</xdr:rowOff>
    </xdr:from>
    <xdr:to>
      <xdr:col>17</xdr:col>
      <xdr:colOff>211680</xdr:colOff>
      <xdr:row>34</xdr:row>
      <xdr:rowOff>91440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36</xdr:row>
      <xdr:rowOff>0</xdr:rowOff>
    </xdr:from>
    <xdr:to>
      <xdr:col>17</xdr:col>
      <xdr:colOff>211680</xdr:colOff>
      <xdr:row>50</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16</xdr:row>
      <xdr:rowOff>7620</xdr:rowOff>
    </xdr:from>
    <xdr:to>
      <xdr:col>10</xdr:col>
      <xdr:colOff>310740</xdr:colOff>
      <xdr:row>44</xdr:row>
      <xdr:rowOff>26400</xdr:rowOff>
    </xdr:to>
    <xdr:grpSp>
      <xdr:nvGrpSpPr>
        <xdr:cNvPr id="2" name="Group 1"/>
        <xdr:cNvGrpSpPr/>
      </xdr:nvGrpSpPr>
      <xdr:grpSpPr>
        <a:xfrm>
          <a:off x="0" y="262890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16</xdr:row>
      <xdr:rowOff>0</xdr:rowOff>
    </xdr:from>
    <xdr:to>
      <xdr:col>22</xdr:col>
      <xdr:colOff>78330</xdr:colOff>
      <xdr:row>57</xdr:row>
      <xdr:rowOff>148320</xdr:rowOff>
    </xdr:to>
    <xdr:grpSp>
      <xdr:nvGrpSpPr>
        <xdr:cNvPr id="7" name="Group 6"/>
        <xdr:cNvGrpSpPr/>
      </xdr:nvGrpSpPr>
      <xdr:grpSpPr>
        <a:xfrm>
          <a:off x="5638800" y="262128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a:graphicFrameLocks/>
          </xdr:cNvGraphicFramePr>
        </xdr:nvGraphicFramePr>
        <xdr:xfrm>
          <a:off x="8309610" y="688848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3" name="Chart 12"/>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oneCellAnchor>
    <xdr:from>
      <xdr:col>8</xdr:col>
      <xdr:colOff>22860</xdr:colOff>
      <xdr:row>3</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21</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38</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55</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12.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0</xdr:rowOff>
    </xdr:to>
    <xdr:grpSp>
      <xdr:nvGrpSpPr>
        <xdr:cNvPr id="2" name="Group 1"/>
        <xdr:cNvGrpSpPr/>
      </xdr:nvGrpSpPr>
      <xdr:grpSpPr>
        <a:xfrm>
          <a:off x="38100" y="217932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8</xdr:col>
      <xdr:colOff>415290</xdr:colOff>
      <xdr:row>22</xdr:row>
      <xdr:rowOff>22590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0</xdr:colOff>
      <xdr:row>13</xdr:row>
      <xdr:rowOff>0</xdr:rowOff>
    </xdr:from>
    <xdr:to>
      <xdr:col>16</xdr:col>
      <xdr:colOff>462420</xdr:colOff>
      <xdr:row>27</xdr:row>
      <xdr:rowOff>26400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xdr:colOff>
      <xdr:row>1</xdr:row>
      <xdr:rowOff>179070</xdr:rowOff>
    </xdr:from>
    <xdr:to>
      <xdr:col>17</xdr:col>
      <xdr:colOff>194310</xdr:colOff>
      <xdr:row>14</xdr:row>
      <xdr:rowOff>148590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5</xdr:col>
      <xdr:colOff>272640</xdr:colOff>
      <xdr:row>34</xdr:row>
      <xdr:rowOff>30480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0</xdr:rowOff>
    </xdr:from>
    <xdr:to>
      <xdr:col>16</xdr:col>
      <xdr:colOff>182880</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17</xdr:col>
      <xdr:colOff>211680</xdr:colOff>
      <xdr:row>17</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19</xdr:row>
      <xdr:rowOff>0</xdr:rowOff>
    </xdr:from>
    <xdr:to>
      <xdr:col>17</xdr:col>
      <xdr:colOff>211680</xdr:colOff>
      <xdr:row>34</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36</xdr:row>
      <xdr:rowOff>0</xdr:rowOff>
    </xdr:from>
    <xdr:to>
      <xdr:col>17</xdr:col>
      <xdr:colOff>211680</xdr:colOff>
      <xdr:row>50</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11430</xdr:colOff>
      <xdr:row>1</xdr:row>
      <xdr:rowOff>179070</xdr:rowOff>
    </xdr:from>
    <xdr:to>
      <xdr:col>17</xdr:col>
      <xdr:colOff>194310</xdr:colOff>
      <xdr:row>14</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5</xdr:col>
      <xdr:colOff>272640</xdr:colOff>
      <xdr:row>34</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0</xdr:rowOff>
    </xdr:from>
    <xdr:to>
      <xdr:col>16</xdr:col>
      <xdr:colOff>182880</xdr:colOff>
      <xdr:row>50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18</xdr:col>
      <xdr:colOff>211680</xdr:colOff>
      <xdr:row>17</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11430</xdr:colOff>
      <xdr:row>1</xdr:row>
      <xdr:rowOff>179070</xdr:rowOff>
    </xdr:from>
    <xdr:to>
      <xdr:col>18</xdr:col>
      <xdr:colOff>194310</xdr:colOff>
      <xdr:row>14</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5</xdr:col>
      <xdr:colOff>272640</xdr:colOff>
      <xdr:row>34</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0</xdr:rowOff>
    </xdr:from>
    <xdr:to>
      <xdr:col>16</xdr:col>
      <xdr:colOff>182880</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Nigeria%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sheetData sheetId="1">
        <row r="6">
          <cell r="B6">
            <v>-1.361337936887999</v>
          </cell>
          <cell r="C6">
            <v>0.44285266533851247</v>
          </cell>
          <cell r="E6">
            <v>17512</v>
          </cell>
        </row>
        <row r="7">
          <cell r="B7">
            <v>2.7014790004200373E-2</v>
          </cell>
          <cell r="C7">
            <v>41.290739265510176</v>
          </cell>
          <cell r="E7">
            <v>168</v>
          </cell>
        </row>
        <row r="8">
          <cell r="B8">
            <v>-0.79983152632151011</v>
          </cell>
          <cell r="C8">
            <v>0.58615656941067062</v>
          </cell>
          <cell r="E8">
            <v>4115</v>
          </cell>
        </row>
        <row r="9">
          <cell r="B9">
            <v>6.1896861595615249E-2</v>
          </cell>
          <cell r="C9">
            <v>2.7848559597510647</v>
          </cell>
          <cell r="E9">
            <v>423</v>
          </cell>
        </row>
        <row r="10">
          <cell r="B10">
            <v>0.96827753570720176</v>
          </cell>
          <cell r="C10">
            <v>0.73320736755179738</v>
          </cell>
          <cell r="E10">
            <v>7637</v>
          </cell>
        </row>
        <row r="11">
          <cell r="B11">
            <v>0.21068572491298942</v>
          </cell>
          <cell r="C11">
            <v>2.9326763805561384</v>
          </cell>
          <cell r="E11">
            <v>837</v>
          </cell>
        </row>
        <row r="12">
          <cell r="B12">
            <v>0.89329455098950206</v>
          </cell>
          <cell r="C12">
            <v>1.8347521612434046</v>
          </cell>
          <cell r="E12">
            <v>5218</v>
          </cell>
        </row>
        <row r="23">
          <cell r="B23">
            <v>-1.4930415275786473</v>
          </cell>
          <cell r="C23">
            <v>0.54123140248343737</v>
          </cell>
          <cell r="E23">
            <v>18889</v>
          </cell>
        </row>
        <row r="24">
          <cell r="B24">
            <v>0.1603390311251261</v>
          </cell>
          <cell r="C24">
            <v>23.704778776913951</v>
          </cell>
          <cell r="E24">
            <v>251</v>
          </cell>
        </row>
        <row r="25">
          <cell r="B25">
            <v>-3.2403683165752373</v>
          </cell>
          <cell r="C25">
            <v>0.75302268107893044</v>
          </cell>
          <cell r="E25">
            <v>3284</v>
          </cell>
        </row>
        <row r="26">
          <cell r="B26">
            <v>0.2360752094215568</v>
          </cell>
          <cell r="C26">
            <v>1.8599701114800866</v>
          </cell>
          <cell r="E26">
            <v>565</v>
          </cell>
        </row>
        <row r="27">
          <cell r="B27">
            <v>1.2721731416828632</v>
          </cell>
          <cell r="C27">
            <v>0.75667889713435943</v>
          </cell>
          <cell r="E27">
            <v>9006</v>
          </cell>
        </row>
        <row r="28">
          <cell r="B28">
            <v>0.64487180862284088</v>
          </cell>
          <cell r="C28">
            <v>3.9914250916150888</v>
          </cell>
          <cell r="E28">
            <v>1189</v>
          </cell>
        </row>
        <row r="29">
          <cell r="B29">
            <v>2.4199506533015054</v>
          </cell>
          <cell r="C29">
            <v>1.2844406299000612</v>
          </cell>
          <cell r="E29">
            <v>6773</v>
          </cell>
        </row>
        <row r="40">
          <cell r="B40">
            <v>-3.6687941277138378</v>
          </cell>
          <cell r="C40">
            <v>0.52721460734618142</v>
          </cell>
          <cell r="E40">
            <v>20045</v>
          </cell>
        </row>
        <row r="41">
          <cell r="B41">
            <v>0.72923171613312887</v>
          </cell>
          <cell r="C41">
            <v>6.0455688743721847</v>
          </cell>
          <cell r="E41">
            <v>624</v>
          </cell>
        </row>
        <row r="42">
          <cell r="B42">
            <v>-1.6471580671214161</v>
          </cell>
          <cell r="C42">
            <v>0.93473843459130979</v>
          </cell>
          <cell r="E42">
            <v>3021</v>
          </cell>
        </row>
        <row r="43">
          <cell r="B43">
            <v>0.23053072241913908</v>
          </cell>
          <cell r="C43">
            <v>1.8959524826176706</v>
          </cell>
          <cell r="E43">
            <v>756</v>
          </cell>
        </row>
        <row r="44">
          <cell r="B44">
            <v>0.92824911861826465</v>
          </cell>
          <cell r="C44">
            <v>0.89328415881562462</v>
          </cell>
          <cell r="E44">
            <v>10788</v>
          </cell>
        </row>
        <row r="45">
          <cell r="B45">
            <v>0.78327436712760745</v>
          </cell>
          <cell r="C45">
            <v>5.004665920745702</v>
          </cell>
          <cell r="E45">
            <v>1728</v>
          </cell>
        </row>
        <row r="46">
          <cell r="B46">
            <v>2.6446662705371082</v>
          </cell>
          <cell r="C46">
            <v>1.0088311627471922</v>
          </cell>
          <cell r="E46">
            <v>9008</v>
          </cell>
        </row>
        <row r="57">
          <cell r="B57">
            <v>-3.5462784600622967</v>
          </cell>
          <cell r="C57">
            <v>0.55858189267978131</v>
          </cell>
          <cell r="E57">
            <v>20082</v>
          </cell>
        </row>
        <row r="58">
          <cell r="B58">
            <v>8.2790873034931156E-2</v>
          </cell>
          <cell r="C58">
            <v>3.4077940929722357</v>
          </cell>
          <cell r="E58">
            <v>722</v>
          </cell>
        </row>
        <row r="59">
          <cell r="B59">
            <v>0.72306470066294981</v>
          </cell>
          <cell r="C59">
            <v>1.1804875287442294</v>
          </cell>
          <cell r="E59">
            <v>3657</v>
          </cell>
        </row>
        <row r="60">
          <cell r="B60">
            <v>4.698355532171683E-2</v>
          </cell>
          <cell r="C60">
            <v>2.2957861176872854</v>
          </cell>
          <cell r="E60">
            <v>848</v>
          </cell>
        </row>
        <row r="61">
          <cell r="B61">
            <v>1.023864064347606</v>
          </cell>
          <cell r="C61">
            <v>0.88140723228459639</v>
          </cell>
          <cell r="E61">
            <v>12278</v>
          </cell>
        </row>
        <row r="62">
          <cell r="B62">
            <v>0.26839450572264312</v>
          </cell>
          <cell r="C62">
            <v>4.5490699548312934</v>
          </cell>
          <cell r="E62">
            <v>2019</v>
          </cell>
        </row>
        <row r="63">
          <cell r="B63">
            <v>1.4011807609724549</v>
          </cell>
          <cell r="C63">
            <v>0.96748730181147169</v>
          </cell>
          <cell r="E63">
            <v>10526</v>
          </cell>
        </row>
      </sheetData>
      <sheetData sheetId="2">
        <row r="4">
          <cell r="B4" t="str">
            <v>Within sector</v>
          </cell>
          <cell r="C4" t="str">
            <v>Structural change</v>
          </cell>
        </row>
        <row r="5">
          <cell r="A5" t="str">
            <v>1991-2000</v>
          </cell>
          <cell r="B5">
            <v>1.4260835287218331E-4</v>
          </cell>
          <cell r="C5">
            <v>9.3105491870180469E-4</v>
          </cell>
        </row>
        <row r="6">
          <cell r="A6" t="str">
            <v>2000-05</v>
          </cell>
          <cell r="B6">
            <v>0.10153374331299418</v>
          </cell>
          <cell r="C6">
            <v>-1.8701439401392503E-2</v>
          </cell>
        </row>
        <row r="7">
          <cell r="A7" t="str">
            <v>2005-10</v>
          </cell>
          <cell r="B7">
            <v>5.8804995659280011E-2</v>
          </cell>
          <cell r="C7">
            <v>-7.4050702678631758E-4</v>
          </cell>
        </row>
        <row r="8">
          <cell r="A8" t="str">
            <v>2010-13</v>
          </cell>
          <cell r="B8">
            <v>2.8946505087765226E-2</v>
          </cell>
          <cell r="C8">
            <v>-7.7457034411542482E-3</v>
          </cell>
        </row>
      </sheetData>
      <sheetData sheetId="3">
        <row r="5">
          <cell r="I5" t="str">
            <v>Agriculture</v>
          </cell>
          <cell r="J5" t="str">
            <v>Wholesale, retail, hotels</v>
          </cell>
          <cell r="K5" t="str">
            <v>Other</v>
          </cell>
          <cell r="L5" t="str">
            <v>Manufacturing</v>
          </cell>
          <cell r="M5" t="str">
            <v>Construction</v>
          </cell>
          <cell r="N5" t="str">
            <v>Mining &amp; utilities</v>
          </cell>
          <cell r="O5" t="str">
            <v>Transport, storage, comms</v>
          </cell>
        </row>
        <row r="6">
          <cell r="H6">
            <v>0</v>
          </cell>
          <cell r="I6">
            <v>0</v>
          </cell>
        </row>
        <row r="7">
          <cell r="H7">
            <v>0</v>
          </cell>
          <cell r="I7">
            <v>0.55858189267978131</v>
          </cell>
        </row>
        <row r="8">
          <cell r="H8">
            <v>20.029123114976464</v>
          </cell>
          <cell r="I8">
            <v>0.55858189267978131</v>
          </cell>
        </row>
        <row r="9">
          <cell r="H9">
            <v>40.058246229952928</v>
          </cell>
          <cell r="I9">
            <v>0.55858189267978131</v>
          </cell>
          <cell r="J9">
            <v>0</v>
          </cell>
        </row>
        <row r="10">
          <cell r="H10">
            <v>40.058246229952928</v>
          </cell>
          <cell r="I10">
            <v>0</v>
          </cell>
          <cell r="J10">
            <v>0.88140723228459639</v>
          </cell>
        </row>
        <row r="11">
          <cell r="H11">
            <v>52.303917657384503</v>
          </cell>
          <cell r="J11">
            <v>0.88140723228459639</v>
          </cell>
        </row>
        <row r="12">
          <cell r="H12">
            <v>64.549589084816077</v>
          </cell>
          <cell r="J12">
            <v>0.88140723228459639</v>
          </cell>
          <cell r="K12">
            <v>0</v>
          </cell>
        </row>
        <row r="13">
          <cell r="H13">
            <v>64.549589084816077</v>
          </cell>
          <cell r="J13">
            <v>0</v>
          </cell>
          <cell r="K13">
            <v>0.96748730181147169</v>
          </cell>
        </row>
        <row r="14">
          <cell r="H14">
            <v>75.047873613659931</v>
          </cell>
          <cell r="K14">
            <v>0.96748730181147169</v>
          </cell>
        </row>
        <row r="15">
          <cell r="H15">
            <v>85.546158142503799</v>
          </cell>
          <cell r="K15">
            <v>0.96748730181147169</v>
          </cell>
          <cell r="L15">
            <v>0</v>
          </cell>
        </row>
        <row r="16">
          <cell r="H16">
            <v>85.546158142503799</v>
          </cell>
          <cell r="K16">
            <v>0</v>
          </cell>
          <cell r="L16">
            <v>1.1804875287442294</v>
          </cell>
        </row>
        <row r="17">
          <cell r="H17">
            <v>89.193529083220312</v>
          </cell>
          <cell r="L17">
            <v>1.1804875287442294</v>
          </cell>
        </row>
        <row r="18">
          <cell r="H18">
            <v>92.840900023936811</v>
          </cell>
          <cell r="L18">
            <v>1.1804875287442294</v>
          </cell>
          <cell r="M18">
            <v>0</v>
          </cell>
        </row>
        <row r="19">
          <cell r="H19">
            <v>92.840900023936811</v>
          </cell>
          <cell r="L19">
            <v>0</v>
          </cell>
          <cell r="M19">
            <v>2.2957861176872854</v>
          </cell>
        </row>
        <row r="20">
          <cell r="H20">
            <v>93.686667198595714</v>
          </cell>
          <cell r="M20">
            <v>2.2957861176872854</v>
          </cell>
        </row>
        <row r="21">
          <cell r="H21">
            <v>94.532434373254617</v>
          </cell>
          <cell r="M21">
            <v>2.2957861176872854</v>
          </cell>
          <cell r="N21">
            <v>0</v>
          </cell>
        </row>
        <row r="22">
          <cell r="H22">
            <v>94.532434373254617</v>
          </cell>
          <cell r="M22">
            <v>0</v>
          </cell>
          <cell r="N22">
            <v>3.4077940929722357</v>
          </cell>
        </row>
        <row r="23">
          <cell r="H23">
            <v>95.252533312056187</v>
          </cell>
          <cell r="N23">
            <v>3.4077940929722357</v>
          </cell>
        </row>
        <row r="24">
          <cell r="H24">
            <v>95.972632250857743</v>
          </cell>
          <cell r="N24">
            <v>3.4077940929722357</v>
          </cell>
          <cell r="O24">
            <v>0</v>
          </cell>
        </row>
        <row r="25">
          <cell r="H25">
            <v>95.972632250857743</v>
          </cell>
          <cell r="N25">
            <v>0</v>
          </cell>
          <cell r="O25">
            <v>4.5490699548312934</v>
          </cell>
        </row>
        <row r="26">
          <cell r="H26">
            <v>97.986316125428885</v>
          </cell>
          <cell r="O26">
            <v>4.5490699548312934</v>
          </cell>
        </row>
        <row r="27">
          <cell r="H27">
            <v>100.00000000000003</v>
          </cell>
          <cell r="O27">
            <v>4.5490699548312934</v>
          </cell>
        </row>
      </sheetData>
      <sheetData sheetId="4">
        <row r="5">
          <cell r="B5">
            <v>1991</v>
          </cell>
          <cell r="C5">
            <v>2000</v>
          </cell>
          <cell r="D5">
            <v>2005</v>
          </cell>
          <cell r="E5">
            <v>2010</v>
          </cell>
          <cell r="F5">
            <v>2013</v>
          </cell>
        </row>
        <row r="6">
          <cell r="A6" t="str">
            <v>Agriculture</v>
          </cell>
          <cell r="B6">
            <v>54.800000000000004</v>
          </cell>
          <cell r="C6">
            <v>53.7</v>
          </cell>
          <cell r="D6">
            <v>53.1</v>
          </cell>
          <cell r="E6">
            <v>50.300000000000004</v>
          </cell>
          <cell r="F6">
            <v>46.800000000000004</v>
          </cell>
          <cell r="G6">
            <v>41.300000000000004</v>
          </cell>
          <cell r="H6">
            <v>41.300000000000004</v>
          </cell>
          <cell r="I6">
            <v>39.5</v>
          </cell>
          <cell r="J6">
            <v>34.6</v>
          </cell>
          <cell r="K6">
            <v>31</v>
          </cell>
        </row>
        <row r="7">
          <cell r="A7" t="str">
            <v>Mining and utilities</v>
          </cell>
          <cell r="B7">
            <v>0.6</v>
          </cell>
          <cell r="C7">
            <v>0.6</v>
          </cell>
          <cell r="D7">
            <v>0.9</v>
          </cell>
          <cell r="E7">
            <v>1.9000000000000004</v>
          </cell>
          <cell r="F7">
            <v>2</v>
          </cell>
          <cell r="G7">
            <v>0.2</v>
          </cell>
          <cell r="H7">
            <v>0.2</v>
          </cell>
          <cell r="I7">
            <v>0.2</v>
          </cell>
          <cell r="J7">
            <v>0.7</v>
          </cell>
          <cell r="K7">
            <v>0.7</v>
          </cell>
        </row>
        <row r="8">
          <cell r="A8" t="str">
            <v>Manufacturing</v>
          </cell>
          <cell r="B8">
            <v>10.9</v>
          </cell>
          <cell r="C8">
            <v>10.4</v>
          </cell>
          <cell r="D8">
            <v>7.5</v>
          </cell>
          <cell r="E8">
            <v>4.9000000000000004</v>
          </cell>
          <cell r="F8">
            <v>5.7</v>
          </cell>
          <cell r="G8">
            <v>14.9</v>
          </cell>
          <cell r="H8">
            <v>13</v>
          </cell>
          <cell r="I8">
            <v>9.2000000000000011</v>
          </cell>
          <cell r="J8">
            <v>8.8000000000000007</v>
          </cell>
          <cell r="K8">
            <v>9.5</v>
          </cell>
        </row>
        <row r="9">
          <cell r="A9" t="str">
            <v>Construction</v>
          </cell>
          <cell r="B9">
            <v>1.6</v>
          </cell>
          <cell r="C9">
            <v>1.8</v>
          </cell>
          <cell r="D9">
            <v>2.3000000000000003</v>
          </cell>
          <cell r="E9">
            <v>2.7</v>
          </cell>
          <cell r="F9">
            <v>2.8000000000000003</v>
          </cell>
          <cell r="G9">
            <v>0.30000000000000004</v>
          </cell>
          <cell r="H9">
            <v>0.30000000000000004</v>
          </cell>
          <cell r="I9">
            <v>0.30000000000000004</v>
          </cell>
          <cell r="J9">
            <v>0.2</v>
          </cell>
          <cell r="K9">
            <v>0.2</v>
          </cell>
        </row>
        <row r="10">
          <cell r="A10" t="str">
            <v>Wholesale, retail, hotels</v>
          </cell>
          <cell r="B10">
            <v>15.4</v>
          </cell>
          <cell r="C10">
            <v>15.1</v>
          </cell>
          <cell r="D10">
            <v>13.3</v>
          </cell>
          <cell r="E10">
            <v>14.500000000000002</v>
          </cell>
          <cell r="F10">
            <v>15.000000000000002</v>
          </cell>
          <cell r="G10">
            <v>29.500000000000004</v>
          </cell>
          <cell r="H10">
            <v>30.7</v>
          </cell>
          <cell r="I10">
            <v>34.799999999999997</v>
          </cell>
          <cell r="J10">
            <v>35.5</v>
          </cell>
          <cell r="K10">
            <v>37.400000000000006</v>
          </cell>
        </row>
        <row r="11">
          <cell r="A11" t="str">
            <v>Transport, storage, comms</v>
          </cell>
          <cell r="B11">
            <v>2.9000000000000004</v>
          </cell>
          <cell r="C11">
            <v>3.4000000000000004</v>
          </cell>
          <cell r="D11">
            <v>4.7</v>
          </cell>
          <cell r="E11">
            <v>6.1000000000000005</v>
          </cell>
          <cell r="F11">
            <v>6.5</v>
          </cell>
          <cell r="G11">
            <v>0.60000000000000009</v>
          </cell>
          <cell r="H11">
            <v>0.70000000000000007</v>
          </cell>
          <cell r="I11">
            <v>0.70000000000000007</v>
          </cell>
          <cell r="J11">
            <v>0.60000000000000009</v>
          </cell>
          <cell r="K11">
            <v>0.70000000000000007</v>
          </cell>
        </row>
        <row r="12">
          <cell r="A12" t="str">
            <v>Other</v>
          </cell>
          <cell r="B12">
            <v>13.9</v>
          </cell>
          <cell r="C12">
            <v>15</v>
          </cell>
          <cell r="D12">
            <v>18.3</v>
          </cell>
          <cell r="E12">
            <v>19.600000000000001</v>
          </cell>
          <cell r="F12">
            <v>21.3</v>
          </cell>
          <cell r="G12">
            <v>13.400000000000002</v>
          </cell>
          <cell r="H12">
            <v>13.8</v>
          </cell>
          <cell r="I12">
            <v>15.2</v>
          </cell>
          <cell r="J12">
            <v>19.700000000000003</v>
          </cell>
          <cell r="K12">
            <v>20.700000000000003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ilo.org/global/research/global-reports/global-employment-trends/2014/WCMS_234879/lang--en/index.htm"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nber.org/papers/w20077"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nber.org/oww/"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tabSelected="1" workbookViewId="0">
      <selection activeCell="E10" sqref="E10"/>
    </sheetView>
  </sheetViews>
  <sheetFormatPr defaultRowHeight="12" x14ac:dyDescent="0.25"/>
  <cols>
    <col min="1" max="1" width="13.5703125" style="189" customWidth="1"/>
    <col min="2" max="2" width="14.42578125" style="189" customWidth="1"/>
    <col min="3" max="3" width="53.140625" style="189" customWidth="1"/>
    <col min="4" max="16384" width="9.140625" style="189"/>
  </cols>
  <sheetData>
    <row r="1" spans="1:3" ht="14.4" x14ac:dyDescent="0.25">
      <c r="A1" s="198" t="s">
        <v>254</v>
      </c>
      <c r="C1" s="267" t="s">
        <v>87</v>
      </c>
    </row>
    <row r="3" spans="1:3" s="265" customFormat="1" ht="19.2" customHeight="1" x14ac:dyDescent="0.25">
      <c r="A3" s="265" t="s">
        <v>248</v>
      </c>
      <c r="B3" s="265" t="s">
        <v>249</v>
      </c>
      <c r="C3" s="265" t="s">
        <v>255</v>
      </c>
    </row>
    <row r="4" spans="1:3" x14ac:dyDescent="0.25">
      <c r="A4" s="189" t="s">
        <v>250</v>
      </c>
      <c r="B4" s="189" t="s">
        <v>251</v>
      </c>
      <c r="C4" s="266" t="s">
        <v>252</v>
      </c>
    </row>
    <row r="5" spans="1:3" x14ac:dyDescent="0.25">
      <c r="C5" s="266" t="s">
        <v>253</v>
      </c>
    </row>
    <row r="6" spans="1:3" x14ac:dyDescent="0.25">
      <c r="A6" s="268" t="s">
        <v>256</v>
      </c>
      <c r="B6" s="268" t="s">
        <v>251</v>
      </c>
      <c r="C6" s="283" t="s">
        <v>257</v>
      </c>
    </row>
    <row r="7" spans="1:3" x14ac:dyDescent="0.25">
      <c r="A7" s="288" t="s">
        <v>258</v>
      </c>
      <c r="B7" s="268" t="s">
        <v>251</v>
      </c>
      <c r="C7" s="289" t="s">
        <v>259</v>
      </c>
    </row>
    <row r="8" spans="1:3" x14ac:dyDescent="0.25">
      <c r="A8" s="289" t="s">
        <v>262</v>
      </c>
      <c r="B8" s="268" t="s">
        <v>251</v>
      </c>
      <c r="C8" s="283" t="s">
        <v>325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CFF99"/>
  </sheetPr>
  <dimension ref="A1:S81"/>
  <sheetViews>
    <sheetView showGridLines="0" workbookViewId="0">
      <pane xSplit="3" topLeftCell="D1" activePane="topRight" state="frozen"/>
      <selection activeCell="J33" sqref="J33"/>
      <selection pane="topRight" activeCell="A3" sqref="A3"/>
    </sheetView>
  </sheetViews>
  <sheetFormatPr defaultColWidth="11.7109375" defaultRowHeight="12" x14ac:dyDescent="0.25"/>
  <cols>
    <col min="1" max="1" width="30.28515625" style="4" customWidth="1"/>
    <col min="2" max="2" width="6" style="11" customWidth="1"/>
    <col min="3" max="3" width="7" style="45" customWidth="1"/>
    <col min="4" max="11" width="15" style="4" customWidth="1"/>
    <col min="12" max="13" width="7.85546875" style="4" customWidth="1"/>
    <col min="14" max="19" width="9.7109375" style="5" customWidth="1"/>
    <col min="20" max="16384" width="11.7109375" style="4"/>
  </cols>
  <sheetData>
    <row r="1" spans="1:19" ht="14.4" x14ac:dyDescent="0.25">
      <c r="A1" s="1" t="s">
        <v>0</v>
      </c>
      <c r="B1" s="2"/>
      <c r="C1" s="3"/>
    </row>
    <row r="2" spans="1:19" s="6" customFormat="1" ht="14.4" x14ac:dyDescent="0.25">
      <c r="A2" s="116" t="s">
        <v>87</v>
      </c>
      <c r="B2" s="117"/>
      <c r="C2" s="118"/>
      <c r="D2" s="313"/>
      <c r="E2" s="313"/>
      <c r="F2" s="312"/>
      <c r="G2" s="313"/>
      <c r="H2" s="313"/>
      <c r="I2" s="313"/>
      <c r="J2" s="313"/>
      <c r="K2" s="313"/>
      <c r="L2" s="313"/>
      <c r="M2" s="313"/>
      <c r="N2" s="312"/>
      <c r="O2" s="313"/>
      <c r="P2" s="313"/>
      <c r="Q2" s="313"/>
      <c r="R2" s="313"/>
      <c r="S2" s="313"/>
    </row>
    <row r="3" spans="1:19" s="6" customFormat="1" ht="14.4" x14ac:dyDescent="0.25">
      <c r="A3" s="363" t="s">
        <v>268</v>
      </c>
      <c r="B3" s="117"/>
      <c r="C3" s="118"/>
      <c r="D3" s="285"/>
      <c r="E3" s="285"/>
      <c r="F3" s="284"/>
      <c r="G3" s="285"/>
      <c r="H3" s="285"/>
      <c r="I3" s="285"/>
      <c r="J3" s="285"/>
      <c r="K3" s="285"/>
      <c r="L3" s="285"/>
      <c r="M3" s="285"/>
      <c r="N3" s="284"/>
      <c r="O3" s="285"/>
      <c r="P3" s="285"/>
      <c r="Q3" s="285"/>
      <c r="R3" s="285"/>
      <c r="S3" s="285"/>
    </row>
    <row r="4" spans="1:19" s="6" customFormat="1" x14ac:dyDescent="0.25">
      <c r="A4" s="119" t="s">
        <v>1</v>
      </c>
      <c r="B4" s="120"/>
      <c r="C4" s="121"/>
      <c r="D4" s="314"/>
      <c r="E4" s="314"/>
      <c r="F4" s="8"/>
      <c r="G4" s="8"/>
      <c r="H4" s="8"/>
      <c r="I4" s="8"/>
      <c r="J4" s="8"/>
      <c r="K4" s="8"/>
      <c r="L4" s="8"/>
      <c r="M4" s="8"/>
      <c r="N4" s="315"/>
      <c r="O4" s="314"/>
      <c r="P4" s="314"/>
      <c r="Q4" s="314"/>
      <c r="R4" s="314"/>
      <c r="S4" s="314"/>
    </row>
    <row r="5" spans="1:19" s="9" customFormat="1" ht="25.5" customHeight="1" x14ac:dyDescent="0.25">
      <c r="A5" s="317" t="s">
        <v>2</v>
      </c>
      <c r="B5" s="319" t="s">
        <v>41</v>
      </c>
      <c r="C5" s="321" t="s">
        <v>85</v>
      </c>
      <c r="D5" s="346" t="s">
        <v>3</v>
      </c>
      <c r="E5" s="347"/>
      <c r="F5" s="326" t="s">
        <v>239</v>
      </c>
      <c r="G5" s="328"/>
      <c r="H5" s="329" t="s">
        <v>5</v>
      </c>
      <c r="I5" s="331"/>
      <c r="J5" s="349" t="s">
        <v>6</v>
      </c>
      <c r="K5" s="350"/>
    </row>
    <row r="6" spans="1:19" s="54" customFormat="1" ht="25.2" customHeight="1" x14ac:dyDescent="0.25">
      <c r="A6" s="318"/>
      <c r="B6" s="320"/>
      <c r="C6" s="322"/>
      <c r="D6" s="172">
        <v>2010</v>
      </c>
      <c r="E6" s="73">
        <v>2011</v>
      </c>
      <c r="F6" s="173">
        <v>2010</v>
      </c>
      <c r="G6" s="64">
        <v>2011</v>
      </c>
      <c r="H6" s="175">
        <v>2010</v>
      </c>
      <c r="I6" s="174">
        <v>2011</v>
      </c>
      <c r="J6" s="177">
        <v>2010</v>
      </c>
      <c r="K6" s="176">
        <v>2011</v>
      </c>
    </row>
    <row r="7" spans="1:19" s="11" customFormat="1" x14ac:dyDescent="0.25">
      <c r="A7" s="12"/>
      <c r="B7" s="13"/>
      <c r="C7" s="14"/>
      <c r="D7" s="13"/>
      <c r="E7" s="15"/>
      <c r="F7" s="13"/>
      <c r="G7" s="13"/>
      <c r="H7" s="13"/>
      <c r="I7" s="13"/>
      <c r="J7" s="16"/>
      <c r="K7" s="16"/>
    </row>
    <row r="8" spans="1:19" s="10" customFormat="1" hidden="1" x14ac:dyDescent="0.25">
      <c r="A8" s="76" t="s">
        <v>14</v>
      </c>
      <c r="B8" s="65">
        <v>7</v>
      </c>
      <c r="C8" s="222" t="s">
        <v>112</v>
      </c>
      <c r="D8" s="185">
        <v>12988809.189999999</v>
      </c>
      <c r="E8" s="185">
        <v>14421928.949999999</v>
      </c>
      <c r="F8" s="185">
        <v>12988809.189999999</v>
      </c>
      <c r="G8" s="185">
        <v>13437367.039999999</v>
      </c>
      <c r="H8" s="185">
        <v>31587.173719515748</v>
      </c>
      <c r="I8" s="185">
        <v>32374.589461203472</v>
      </c>
      <c r="J8" s="18">
        <f t="shared" ref="J8:J24" si="0">(F8*1000000)/(H8*1000)</f>
        <v>411205.17160973547</v>
      </c>
      <c r="K8" s="18">
        <f t="shared" ref="K8:K24" si="1">(G8*1000000)/(I8*1000)</f>
        <v>415059.07143943408</v>
      </c>
      <c r="L8" s="255"/>
    </row>
    <row r="9" spans="1:19" s="10" customFormat="1" hidden="1" x14ac:dyDescent="0.25">
      <c r="A9" s="76" t="s">
        <v>17</v>
      </c>
      <c r="B9" s="127">
        <f>+B8+1</f>
        <v>8</v>
      </c>
      <c r="C9" s="19" t="s">
        <v>18</v>
      </c>
      <c r="D9" s="20">
        <f t="shared" ref="D9:I9" si="2">+D10+D11+D14</f>
        <v>13992438.93</v>
      </c>
      <c r="E9" s="20">
        <f t="shared" si="2"/>
        <v>17615537.359999999</v>
      </c>
      <c r="F9" s="20">
        <f t="shared" si="2"/>
        <v>13992438.93</v>
      </c>
      <c r="G9" s="20">
        <f t="shared" si="2"/>
        <v>15002617.469999999</v>
      </c>
      <c r="H9" s="20">
        <f t="shared" si="2"/>
        <v>3253.0434002584234</v>
      </c>
      <c r="I9" s="20">
        <f t="shared" si="2"/>
        <v>3599.1202571804902</v>
      </c>
      <c r="J9" s="18">
        <f t="shared" si="0"/>
        <v>4301337.9190970631</v>
      </c>
      <c r="K9" s="18">
        <f t="shared" si="1"/>
        <v>4168412.3891300252</v>
      </c>
      <c r="L9" s="255"/>
    </row>
    <row r="10" spans="1:19" s="10" customFormat="1" hidden="1" x14ac:dyDescent="0.25">
      <c r="A10" s="77" t="s">
        <v>19</v>
      </c>
      <c r="B10" s="128">
        <f t="shared" ref="B10:B23" si="3">+B9+1</f>
        <v>9</v>
      </c>
      <c r="C10" s="223" t="s">
        <v>112</v>
      </c>
      <c r="D10" s="185">
        <v>8454554.1999999993</v>
      </c>
      <c r="E10" s="185">
        <v>11140408.09</v>
      </c>
      <c r="F10" s="185">
        <v>8454554.1999999993</v>
      </c>
      <c r="G10" s="185">
        <v>8751190.7899999991</v>
      </c>
      <c r="H10" s="185">
        <v>120.76237880177629</v>
      </c>
      <c r="I10" s="185">
        <v>142.31756147002758</v>
      </c>
      <c r="J10" s="23">
        <f t="shared" si="0"/>
        <v>70009834.883077353</v>
      </c>
      <c r="K10" s="23">
        <f t="shared" si="1"/>
        <v>61490589.774073817</v>
      </c>
      <c r="L10" s="255"/>
    </row>
    <row r="11" spans="1:19" s="10" customFormat="1" hidden="1" x14ac:dyDescent="0.25">
      <c r="A11" s="77" t="s">
        <v>20</v>
      </c>
      <c r="B11" s="128">
        <f t="shared" si="3"/>
        <v>10</v>
      </c>
      <c r="C11" s="223" t="s">
        <v>112</v>
      </c>
      <c r="D11" s="185">
        <v>3578641.72</v>
      </c>
      <c r="E11" s="185">
        <v>4085393.24</v>
      </c>
      <c r="F11" s="185">
        <v>3578641.72</v>
      </c>
      <c r="G11" s="185">
        <v>3958756.11</v>
      </c>
      <c r="H11" s="185">
        <v>2176.9832314630107</v>
      </c>
      <c r="I11" s="185">
        <v>2344.6710947562474</v>
      </c>
      <c r="J11" s="23">
        <f t="shared" si="0"/>
        <v>1643853.5989985666</v>
      </c>
      <c r="K11" s="23">
        <f t="shared" si="1"/>
        <v>1688405.7294234496</v>
      </c>
      <c r="L11" s="255"/>
    </row>
    <row r="12" spans="1:19" s="25" customFormat="1" hidden="1" x14ac:dyDescent="0.25">
      <c r="A12" s="24" t="s">
        <v>21</v>
      </c>
      <c r="B12" s="128">
        <f t="shared" si="3"/>
        <v>11</v>
      </c>
      <c r="C12" s="223" t="s">
        <v>112</v>
      </c>
      <c r="D12" s="185">
        <v>388269.54000000004</v>
      </c>
      <c r="E12" s="185">
        <v>569933.37</v>
      </c>
      <c r="F12" s="185">
        <v>388269.54000000004</v>
      </c>
      <c r="G12" s="185">
        <v>523008.34</v>
      </c>
      <c r="H12" s="185">
        <v>116.99698637672748</v>
      </c>
      <c r="I12" s="185">
        <v>146.19760867399418</v>
      </c>
      <c r="J12" s="23">
        <f t="shared" si="0"/>
        <v>3318628.5563782086</v>
      </c>
      <c r="K12" s="23">
        <f t="shared" si="1"/>
        <v>3577406.9408088299</v>
      </c>
      <c r="L12" s="255"/>
    </row>
    <row r="13" spans="1:19" s="25" customFormat="1" hidden="1" x14ac:dyDescent="0.25">
      <c r="A13" s="26" t="s">
        <v>22</v>
      </c>
      <c r="B13" s="128">
        <f t="shared" si="3"/>
        <v>12</v>
      </c>
      <c r="C13" s="223" t="s">
        <v>112</v>
      </c>
      <c r="D13" s="185">
        <v>1570973.47</v>
      </c>
      <c r="E13" s="185">
        <v>1819802.66</v>
      </c>
      <c r="F13" s="185">
        <v>1570973.47</v>
      </c>
      <c r="G13" s="185">
        <v>1769662.23</v>
      </c>
      <c r="H13" s="185">
        <v>838.30080361690909</v>
      </c>
      <c r="I13" s="185">
        <v>965.93399228022088</v>
      </c>
      <c r="J13" s="23">
        <f t="shared" si="0"/>
        <v>1873997.3327258211</v>
      </c>
      <c r="K13" s="23">
        <f t="shared" si="1"/>
        <v>1832073.665636787</v>
      </c>
      <c r="L13" s="255"/>
    </row>
    <row r="14" spans="1:19" s="10" customFormat="1" hidden="1" x14ac:dyDescent="0.25">
      <c r="A14" s="141" t="s">
        <v>61</v>
      </c>
      <c r="B14" s="129">
        <f t="shared" si="3"/>
        <v>13</v>
      </c>
      <c r="C14" s="27" t="s">
        <v>18</v>
      </c>
      <c r="D14" s="28">
        <f t="shared" ref="D14:E14" si="4">+D13+D12</f>
        <v>1959243.01</v>
      </c>
      <c r="E14" s="28">
        <f t="shared" si="4"/>
        <v>2389736.0299999998</v>
      </c>
      <c r="F14" s="28">
        <f t="shared" ref="F14:G14" si="5">+F13+F12</f>
        <v>1959243.01</v>
      </c>
      <c r="G14" s="28">
        <f t="shared" si="5"/>
        <v>2292670.5699999998</v>
      </c>
      <c r="H14" s="28">
        <f t="shared" ref="H14:I14" si="6">+H13+H12</f>
        <v>955.29778999363657</v>
      </c>
      <c r="I14" s="28">
        <f t="shared" si="6"/>
        <v>1112.1316009542152</v>
      </c>
      <c r="J14" s="23">
        <f t="shared" si="0"/>
        <v>2050923.8381186363</v>
      </c>
      <c r="K14" s="23">
        <f t="shared" si="1"/>
        <v>2061510.1378585731</v>
      </c>
      <c r="L14" s="255"/>
    </row>
    <row r="15" spans="1:19" s="10" customFormat="1" hidden="1" x14ac:dyDescent="0.25">
      <c r="A15" s="76" t="s">
        <v>23</v>
      </c>
      <c r="B15" s="127">
        <f t="shared" si="3"/>
        <v>14</v>
      </c>
      <c r="C15" s="19" t="s">
        <v>18</v>
      </c>
      <c r="D15" s="20">
        <f t="shared" ref="D15:I15" si="7">+D16+D21</f>
        <v>27223547.02</v>
      </c>
      <c r="E15" s="20">
        <f t="shared" si="7"/>
        <v>31221112.700000003</v>
      </c>
      <c r="F15" s="20">
        <f t="shared" si="7"/>
        <v>27223547.02</v>
      </c>
      <c r="G15" s="20">
        <f t="shared" si="7"/>
        <v>28524082.460000001</v>
      </c>
      <c r="H15" s="20">
        <f t="shared" si="7"/>
        <v>17232.457125154804</v>
      </c>
      <c r="I15" s="20">
        <f t="shared" si="7"/>
        <v>16430.646944198666</v>
      </c>
      <c r="J15" s="18">
        <f t="shared" si="0"/>
        <v>1579783.2440424797</v>
      </c>
      <c r="K15" s="18">
        <f t="shared" si="1"/>
        <v>1736029.1750454346</v>
      </c>
      <c r="L15" s="255"/>
    </row>
    <row r="16" spans="1:19" s="10" customFormat="1" hidden="1" x14ac:dyDescent="0.25">
      <c r="A16" s="77" t="s">
        <v>24</v>
      </c>
      <c r="B16" s="128">
        <f t="shared" si="3"/>
        <v>15</v>
      </c>
      <c r="C16" s="27" t="s">
        <v>18</v>
      </c>
      <c r="D16" s="28">
        <f t="shared" ref="D16:I16" si="8">+D19+D20</f>
        <v>22907399.129999999</v>
      </c>
      <c r="E16" s="28">
        <f t="shared" si="8"/>
        <v>26296963.200000003</v>
      </c>
      <c r="F16" s="28">
        <f t="shared" si="8"/>
        <v>22907399.129999999</v>
      </c>
      <c r="G16" s="28">
        <f t="shared" si="8"/>
        <v>23857816.039999999</v>
      </c>
      <c r="H16" s="28">
        <f t="shared" si="8"/>
        <v>11830.470001052845</v>
      </c>
      <c r="I16" s="28">
        <f t="shared" si="8"/>
        <v>11024.054615257892</v>
      </c>
      <c r="J16" s="23">
        <f t="shared" si="0"/>
        <v>1936305.0773098085</v>
      </c>
      <c r="K16" s="23">
        <f t="shared" si="1"/>
        <v>2164159.8189271926</v>
      </c>
      <c r="L16" s="255"/>
    </row>
    <row r="17" spans="1:12" s="25" customFormat="1" hidden="1" x14ac:dyDescent="0.25">
      <c r="A17" s="26" t="s">
        <v>25</v>
      </c>
      <c r="B17" s="128">
        <f t="shared" si="3"/>
        <v>16</v>
      </c>
      <c r="C17" s="223" t="s">
        <v>112</v>
      </c>
      <c r="D17" s="185">
        <v>9156042.6899999995</v>
      </c>
      <c r="E17" s="185">
        <v>10608004.770000001</v>
      </c>
      <c r="F17" s="185">
        <v>9156042.6899999995</v>
      </c>
      <c r="G17" s="185">
        <v>8990656.4700000007</v>
      </c>
      <c r="H17" s="185">
        <v>8810.0895866335431</v>
      </c>
      <c r="I17" s="185">
        <v>7780.6645079219716</v>
      </c>
      <c r="J17" s="23">
        <f t="shared" si="0"/>
        <v>1039267.8303625118</v>
      </c>
      <c r="K17" s="23">
        <f t="shared" si="1"/>
        <v>1155512.6764360629</v>
      </c>
      <c r="L17" s="255"/>
    </row>
    <row r="18" spans="1:12" s="25" customFormat="1" hidden="1" x14ac:dyDescent="0.25">
      <c r="A18" s="26" t="s">
        <v>26</v>
      </c>
      <c r="B18" s="128">
        <f t="shared" si="3"/>
        <v>17</v>
      </c>
      <c r="C18" s="223" t="s">
        <v>112</v>
      </c>
      <c r="D18" s="185">
        <v>6655716.6799999997</v>
      </c>
      <c r="E18" s="185">
        <v>7508983.5099999998</v>
      </c>
      <c r="F18" s="185">
        <v>6655716.6799999997</v>
      </c>
      <c r="G18" s="185">
        <v>7226011.4199999999</v>
      </c>
      <c r="H18" s="185">
        <v>1586.1984382513363</v>
      </c>
      <c r="I18" s="185">
        <v>1508.6579612743492</v>
      </c>
      <c r="J18" s="23">
        <f t="shared" si="0"/>
        <v>4196017.6731339013</v>
      </c>
      <c r="K18" s="23">
        <f t="shared" si="1"/>
        <v>4789694.9510651547</v>
      </c>
      <c r="L18" s="255"/>
    </row>
    <row r="19" spans="1:12" s="10" customFormat="1" hidden="1" x14ac:dyDescent="0.25">
      <c r="A19" s="77" t="s">
        <v>27</v>
      </c>
      <c r="B19" s="128">
        <f t="shared" si="3"/>
        <v>18</v>
      </c>
      <c r="C19" s="27" t="s">
        <v>18</v>
      </c>
      <c r="D19" s="28">
        <f t="shared" ref="D19:E19" si="9">+D18+D17</f>
        <v>15811759.369999999</v>
      </c>
      <c r="E19" s="28">
        <f t="shared" si="9"/>
        <v>18116988.280000001</v>
      </c>
      <c r="F19" s="28">
        <f t="shared" ref="F19:G19" si="10">+F18+F17</f>
        <v>15811759.369999999</v>
      </c>
      <c r="G19" s="28">
        <f t="shared" si="10"/>
        <v>16216667.890000001</v>
      </c>
      <c r="H19" s="28">
        <f t="shared" ref="H19:I19" si="11">+H18+H17</f>
        <v>10396.28802488488</v>
      </c>
      <c r="I19" s="28">
        <f t="shared" si="11"/>
        <v>9289.3224691963205</v>
      </c>
      <c r="J19" s="23">
        <f t="shared" si="0"/>
        <v>1520904.3200950646</v>
      </c>
      <c r="K19" s="23">
        <f t="shared" si="1"/>
        <v>1745732.0427593044</v>
      </c>
      <c r="L19" s="255"/>
    </row>
    <row r="20" spans="1:12" s="10" customFormat="1" hidden="1" x14ac:dyDescent="0.25">
      <c r="A20" s="78" t="s">
        <v>109</v>
      </c>
      <c r="B20" s="128">
        <f>+B19+1</f>
        <v>19</v>
      </c>
      <c r="C20" s="224" t="s">
        <v>112</v>
      </c>
      <c r="D20" s="216">
        <v>7095639.7599999998</v>
      </c>
      <c r="E20" s="216">
        <v>8179974.9199999999</v>
      </c>
      <c r="F20" s="216">
        <v>7095639.7599999998</v>
      </c>
      <c r="G20" s="216">
        <v>7641148.1500000004</v>
      </c>
      <c r="H20" s="216">
        <v>1434.181976167966</v>
      </c>
      <c r="I20" s="216">
        <v>1734.732146061571</v>
      </c>
      <c r="J20" s="23">
        <f t="shared" si="0"/>
        <v>4947517.0361288833</v>
      </c>
      <c r="K20" s="23">
        <f t="shared" si="1"/>
        <v>4404799.9959809305</v>
      </c>
      <c r="L20" s="255"/>
    </row>
    <row r="21" spans="1:12" s="10" customFormat="1" hidden="1" x14ac:dyDescent="0.25">
      <c r="A21" s="77" t="s">
        <v>32</v>
      </c>
      <c r="B21" s="128">
        <f t="shared" si="3"/>
        <v>20</v>
      </c>
      <c r="C21" s="27" t="s">
        <v>18</v>
      </c>
      <c r="D21" s="28">
        <f t="shared" ref="D21:I21" si="12">+D22+D23</f>
        <v>4316147.8899999997</v>
      </c>
      <c r="E21" s="28">
        <f t="shared" si="12"/>
        <v>4924149.5</v>
      </c>
      <c r="F21" s="28">
        <f t="shared" si="12"/>
        <v>4316147.8899999997</v>
      </c>
      <c r="G21" s="28">
        <f t="shared" si="12"/>
        <v>4666266.42</v>
      </c>
      <c r="H21" s="28">
        <f t="shared" si="12"/>
        <v>5401.9871241019609</v>
      </c>
      <c r="I21" s="28">
        <f t="shared" si="12"/>
        <v>5406.5923289407756</v>
      </c>
      <c r="J21" s="23">
        <f t="shared" si="0"/>
        <v>798992.62823909929</v>
      </c>
      <c r="K21" s="23">
        <f t="shared" si="1"/>
        <v>863069.77410190366</v>
      </c>
      <c r="L21" s="255"/>
    </row>
    <row r="22" spans="1:12" s="10" customFormat="1" hidden="1" x14ac:dyDescent="0.25">
      <c r="A22" s="77" t="s">
        <v>33</v>
      </c>
      <c r="B22" s="128">
        <f t="shared" si="3"/>
        <v>21</v>
      </c>
      <c r="C22" s="223" t="s">
        <v>112</v>
      </c>
      <c r="D22" s="185">
        <v>3385190.09</v>
      </c>
      <c r="E22" s="185">
        <v>3862789.12</v>
      </c>
      <c r="F22" s="185">
        <v>3385190.09</v>
      </c>
      <c r="G22" s="185">
        <v>3672405.42</v>
      </c>
      <c r="H22" s="185">
        <v>2246.279119770013</v>
      </c>
      <c r="I22" s="185">
        <v>2352.8829990419586</v>
      </c>
      <c r="J22" s="23">
        <f t="shared" si="0"/>
        <v>1507021.1267184797</v>
      </c>
      <c r="K22" s="23">
        <f t="shared" si="1"/>
        <v>1560810.895184895</v>
      </c>
      <c r="L22" s="255"/>
    </row>
    <row r="23" spans="1:12" s="31" customFormat="1" hidden="1" x14ac:dyDescent="0.25">
      <c r="A23" s="26" t="s">
        <v>34</v>
      </c>
      <c r="B23" s="128">
        <f t="shared" si="3"/>
        <v>22</v>
      </c>
      <c r="C23" s="223" t="s">
        <v>112</v>
      </c>
      <c r="D23" s="185">
        <v>930957.8</v>
      </c>
      <c r="E23" s="185">
        <v>1061360.3800000001</v>
      </c>
      <c r="F23" s="185">
        <v>930957.8</v>
      </c>
      <c r="G23" s="185">
        <v>993861</v>
      </c>
      <c r="H23" s="185">
        <v>3155.7080043319474</v>
      </c>
      <c r="I23" s="185">
        <v>3053.709329898817</v>
      </c>
      <c r="J23" s="23">
        <f t="shared" si="0"/>
        <v>295007.58584826055</v>
      </c>
      <c r="K23" s="23">
        <f t="shared" si="1"/>
        <v>325460.24936595099</v>
      </c>
      <c r="L23" s="255"/>
    </row>
    <row r="24" spans="1:12" s="9" customFormat="1" hidden="1" x14ac:dyDescent="0.25">
      <c r="A24" s="32" t="s">
        <v>37</v>
      </c>
      <c r="B24" s="65">
        <v>23</v>
      </c>
      <c r="C24" s="225" t="s">
        <v>112</v>
      </c>
      <c r="D24" s="186">
        <v>54204795.139999986</v>
      </c>
      <c r="E24" s="186">
        <v>63258579.010000005</v>
      </c>
      <c r="F24" s="186">
        <v>54204795.139999986</v>
      </c>
      <c r="G24" s="186">
        <v>56964066.969999999</v>
      </c>
      <c r="H24" s="186">
        <v>52072.674244928974</v>
      </c>
      <c r="I24" s="186">
        <v>52404.356662582635</v>
      </c>
      <c r="J24" s="35">
        <f t="shared" si="0"/>
        <v>1040945.1007843839</v>
      </c>
      <c r="K24" s="35">
        <f t="shared" si="1"/>
        <v>1087010.1380458898</v>
      </c>
      <c r="L24" s="255"/>
    </row>
    <row r="25" spans="1:12" s="36" customFormat="1" hidden="1" x14ac:dyDescent="0.25">
      <c r="A25" s="36" t="s">
        <v>38</v>
      </c>
      <c r="B25" s="37"/>
      <c r="C25" s="38"/>
      <c r="D25" s="39">
        <f t="shared" ref="D25:I25" si="13">+D8+D9+D15</f>
        <v>54204795.140000001</v>
      </c>
      <c r="E25" s="39">
        <f t="shared" si="13"/>
        <v>63258579.010000005</v>
      </c>
      <c r="F25" s="39">
        <f t="shared" si="13"/>
        <v>54204795.140000001</v>
      </c>
      <c r="G25" s="39">
        <f t="shared" si="13"/>
        <v>56964066.969999999</v>
      </c>
      <c r="H25" s="39">
        <f t="shared" si="13"/>
        <v>52072.674244928974</v>
      </c>
      <c r="I25" s="39">
        <f t="shared" si="13"/>
        <v>52404.356662582635</v>
      </c>
      <c r="J25" s="40"/>
      <c r="K25" s="40"/>
    </row>
    <row r="26" spans="1:12" s="36" customFormat="1" hidden="1" x14ac:dyDescent="0.25">
      <c r="A26" s="89" t="s">
        <v>72</v>
      </c>
      <c r="B26" s="37"/>
      <c r="C26" s="38"/>
      <c r="D26" s="43" t="b">
        <f t="shared" ref="D26:I26" si="14">EXACT(D25,D24)</f>
        <v>1</v>
      </c>
      <c r="E26" s="43" t="b">
        <f t="shared" si="14"/>
        <v>1</v>
      </c>
      <c r="F26" s="43" t="b">
        <f t="shared" si="14"/>
        <v>1</v>
      </c>
      <c r="G26" s="43" t="b">
        <f t="shared" si="14"/>
        <v>1</v>
      </c>
      <c r="H26" s="43" t="b">
        <f t="shared" si="14"/>
        <v>1</v>
      </c>
      <c r="I26" s="43" t="b">
        <f t="shared" si="14"/>
        <v>1</v>
      </c>
      <c r="J26" s="40"/>
      <c r="K26" s="40"/>
    </row>
    <row r="27" spans="1:12" s="36" customFormat="1" hidden="1" x14ac:dyDescent="0.25">
      <c r="A27" s="89" t="s">
        <v>72</v>
      </c>
      <c r="B27" s="37"/>
      <c r="C27" s="38"/>
      <c r="D27" s="43"/>
      <c r="E27" s="43"/>
      <c r="F27" s="43"/>
      <c r="G27" s="43"/>
      <c r="H27" s="43"/>
      <c r="I27" s="43"/>
      <c r="J27" s="40"/>
      <c r="K27" s="40"/>
    </row>
    <row r="28" spans="1:12" s="36" customFormat="1" ht="35.4" customHeight="1" x14ac:dyDescent="0.25">
      <c r="A28" s="7" t="s">
        <v>73</v>
      </c>
      <c r="B28" s="65" t="s">
        <v>41</v>
      </c>
      <c r="C28" s="166" t="s">
        <v>16</v>
      </c>
      <c r="D28" s="346" t="s">
        <v>74</v>
      </c>
      <c r="E28" s="347"/>
      <c r="F28" s="329" t="s">
        <v>75</v>
      </c>
      <c r="G28" s="331"/>
      <c r="H28" s="332" t="s">
        <v>242</v>
      </c>
      <c r="I28" s="348"/>
      <c r="J28" s="40"/>
      <c r="K28" s="40"/>
    </row>
    <row r="29" spans="1:12" s="36" customFormat="1" x14ac:dyDescent="0.25">
      <c r="A29" s="85" t="s">
        <v>70</v>
      </c>
      <c r="B29" s="65"/>
      <c r="C29" s="166" t="s">
        <v>16</v>
      </c>
      <c r="D29" s="172">
        <v>2010</v>
      </c>
      <c r="E29" s="73">
        <v>2011</v>
      </c>
      <c r="F29" s="175">
        <v>2010</v>
      </c>
      <c r="G29" s="174">
        <v>2011</v>
      </c>
      <c r="H29" s="179">
        <v>2010</v>
      </c>
      <c r="I29" s="178">
        <v>2011</v>
      </c>
      <c r="J29" s="40"/>
      <c r="K29" s="40"/>
    </row>
    <row r="30" spans="1:12" s="36" customFormat="1" x14ac:dyDescent="0.25">
      <c r="A30" s="157" t="s">
        <v>14</v>
      </c>
      <c r="B30" s="65">
        <v>7</v>
      </c>
      <c r="C30" s="166" t="s">
        <v>16</v>
      </c>
      <c r="D30" s="122">
        <f t="shared" ref="D30:E43" si="15">(D8/D$24)*100</f>
        <v>23.962472612344612</v>
      </c>
      <c r="E30" s="122">
        <f t="shared" si="15"/>
        <v>22.798376403175542</v>
      </c>
      <c r="F30" s="122">
        <f t="shared" ref="F30:F46" si="16">(+H8/H$24)*100</f>
        <v>60.65978783986079</v>
      </c>
      <c r="G30" s="122">
        <f t="shared" ref="G30:G46" si="17">(+I8/I$24)*100</f>
        <v>61.778431266038872</v>
      </c>
      <c r="H30" s="122">
        <f>+J8/J$24</f>
        <v>0.39503060372720888</v>
      </c>
      <c r="I30" s="122">
        <f>+K8/K$24</f>
        <v>0.38183551092318491</v>
      </c>
      <c r="J30" s="40"/>
      <c r="K30" s="40"/>
    </row>
    <row r="31" spans="1:12" s="36" customFormat="1" x14ac:dyDescent="0.25">
      <c r="A31" s="158" t="s">
        <v>17</v>
      </c>
      <c r="B31" s="65">
        <v>8</v>
      </c>
      <c r="C31" s="166" t="s">
        <v>16</v>
      </c>
      <c r="D31" s="122">
        <f t="shared" si="15"/>
        <v>25.814024190775687</v>
      </c>
      <c r="E31" s="122">
        <f t="shared" si="15"/>
        <v>27.846874899316521</v>
      </c>
      <c r="F31" s="122">
        <f t="shared" si="16"/>
        <v>6.2471218300742768</v>
      </c>
      <c r="G31" s="122">
        <f t="shared" si="17"/>
        <v>6.8679790887506629</v>
      </c>
      <c r="H31" s="122">
        <f t="shared" ref="H31:I45" si="18">+J9/J$24</f>
        <v>4.1321467538065875</v>
      </c>
      <c r="I31" s="122">
        <f t="shared" si="18"/>
        <v>3.8347502412659646</v>
      </c>
      <c r="J31" s="40"/>
      <c r="K31" s="40"/>
    </row>
    <row r="32" spans="1:12" s="36" customFormat="1" x14ac:dyDescent="0.25">
      <c r="A32" s="159" t="s">
        <v>19</v>
      </c>
      <c r="B32" s="65">
        <v>9</v>
      </c>
      <c r="C32" s="166" t="s">
        <v>16</v>
      </c>
      <c r="D32" s="122">
        <f t="shared" si="15"/>
        <v>15.597428563586673</v>
      </c>
      <c r="E32" s="122">
        <f t="shared" si="15"/>
        <v>17.610904741061141</v>
      </c>
      <c r="F32" s="122">
        <f t="shared" si="16"/>
        <v>0.23191122897540944</v>
      </c>
      <c r="G32" s="122">
        <f t="shared" si="17"/>
        <v>0.27157582028221733</v>
      </c>
      <c r="H32" s="122">
        <f t="shared" si="18"/>
        <v>67.256029958085975</v>
      </c>
      <c r="I32" s="122">
        <f>+K10/K$24</f>
        <v>56.568552235046312</v>
      </c>
      <c r="J32" s="40"/>
      <c r="K32" s="40"/>
    </row>
    <row r="33" spans="1:19" s="36" customFormat="1" x14ac:dyDescent="0.25">
      <c r="A33" s="160" t="s">
        <v>20</v>
      </c>
      <c r="B33" s="65">
        <v>10</v>
      </c>
      <c r="C33" s="166" t="s">
        <v>16</v>
      </c>
      <c r="D33" s="122">
        <f t="shared" si="15"/>
        <v>6.602075906305144</v>
      </c>
      <c r="E33" s="122">
        <f t="shared" si="15"/>
        <v>6.4582437733136171</v>
      </c>
      <c r="F33" s="122">
        <f t="shared" si="16"/>
        <v>4.1806633959749302</v>
      </c>
      <c r="G33" s="122">
        <f t="shared" si="17"/>
        <v>4.4741911628701896</v>
      </c>
      <c r="H33" s="122">
        <f t="shared" si="18"/>
        <v>1.5791933674118575</v>
      </c>
      <c r="I33" s="122">
        <f t="shared" si="18"/>
        <v>1.5532566535751766</v>
      </c>
      <c r="J33" s="40"/>
      <c r="K33" s="40"/>
    </row>
    <row r="34" spans="1:19" s="36" customFormat="1" hidden="1" x14ac:dyDescent="0.25">
      <c r="A34" s="160" t="s">
        <v>21</v>
      </c>
      <c r="B34" s="65">
        <v>11</v>
      </c>
      <c r="C34" s="166"/>
      <c r="D34" s="122">
        <f t="shared" si="15"/>
        <v>0.716301092914711</v>
      </c>
      <c r="E34" s="122">
        <f t="shared" si="15"/>
        <v>0.90095822403772952</v>
      </c>
      <c r="F34" s="122">
        <f t="shared" si="16"/>
        <v>0.22468019565582628</v>
      </c>
      <c r="G34" s="122">
        <f t="shared" si="17"/>
        <v>0.27897987492780557</v>
      </c>
      <c r="H34" s="122">
        <f t="shared" si="18"/>
        <v>3.1880918156755054</v>
      </c>
      <c r="I34" s="122">
        <f t="shared" si="18"/>
        <v>3.2910520478124594</v>
      </c>
      <c r="J34" s="40"/>
      <c r="K34" s="40"/>
    </row>
    <row r="35" spans="1:19" s="36" customFormat="1" hidden="1" x14ac:dyDescent="0.25">
      <c r="A35" s="160" t="s">
        <v>22</v>
      </c>
      <c r="B35" s="65">
        <v>12</v>
      </c>
      <c r="C35" s="166"/>
      <c r="D35" s="122">
        <f t="shared" si="15"/>
        <v>2.8982186279691571</v>
      </c>
      <c r="E35" s="122">
        <f t="shared" si="15"/>
        <v>2.8767681609040299</v>
      </c>
      <c r="F35" s="122">
        <f t="shared" si="16"/>
        <v>1.6098670094681107</v>
      </c>
      <c r="G35" s="122">
        <f t="shared" si="17"/>
        <v>1.8432322306704507</v>
      </c>
      <c r="H35" s="122">
        <f t="shared" si="18"/>
        <v>1.8002845023370655</v>
      </c>
      <c r="I35" s="122">
        <f t="shared" si="18"/>
        <v>1.6854246354411122</v>
      </c>
      <c r="J35" s="40"/>
      <c r="K35" s="40"/>
    </row>
    <row r="36" spans="1:19" s="36" customFormat="1" x14ac:dyDescent="0.25">
      <c r="A36" s="161" t="s">
        <v>61</v>
      </c>
      <c r="B36" s="65">
        <v>13</v>
      </c>
      <c r="C36" s="166" t="s">
        <v>16</v>
      </c>
      <c r="D36" s="122">
        <f t="shared" si="15"/>
        <v>3.6145197208838677</v>
      </c>
      <c r="E36" s="122">
        <f t="shared" si="15"/>
        <v>3.7777263849417588</v>
      </c>
      <c r="F36" s="122">
        <f t="shared" si="16"/>
        <v>1.8345472051239369</v>
      </c>
      <c r="G36" s="122">
        <f t="shared" si="17"/>
        <v>2.1222121055982566</v>
      </c>
      <c r="H36" s="122">
        <f t="shared" si="18"/>
        <v>1.9702516843330187</v>
      </c>
      <c r="I36" s="122">
        <f t="shared" si="18"/>
        <v>1.8964957783784195</v>
      </c>
      <c r="J36" s="40"/>
      <c r="K36" s="40"/>
    </row>
    <row r="37" spans="1:19" s="36" customFormat="1" x14ac:dyDescent="0.25">
      <c r="A37" s="162" t="s">
        <v>23</v>
      </c>
      <c r="B37" s="65">
        <v>14</v>
      </c>
      <c r="C37" s="166" t="s">
        <v>16</v>
      </c>
      <c r="D37" s="122">
        <f t="shared" si="15"/>
        <v>50.223503196879726</v>
      </c>
      <c r="E37" s="122">
        <f t="shared" si="15"/>
        <v>49.354748697507929</v>
      </c>
      <c r="F37" s="122">
        <f t="shared" si="16"/>
        <v>33.093090330064932</v>
      </c>
      <c r="G37" s="122">
        <f t="shared" si="17"/>
        <v>31.353589645210462</v>
      </c>
      <c r="H37" s="122">
        <f t="shared" si="18"/>
        <v>1.5176431906467158</v>
      </c>
      <c r="I37" s="122">
        <f t="shared" si="18"/>
        <v>1.5970680624619396</v>
      </c>
      <c r="J37" s="40"/>
      <c r="K37" s="40"/>
    </row>
    <row r="38" spans="1:19" s="36" customFormat="1" x14ac:dyDescent="0.25">
      <c r="A38" s="159" t="s">
        <v>24</v>
      </c>
      <c r="B38" s="65">
        <v>15</v>
      </c>
      <c r="C38" s="166" t="s">
        <v>16</v>
      </c>
      <c r="D38" s="122">
        <f t="shared" si="15"/>
        <v>42.260835173041123</v>
      </c>
      <c r="E38" s="122">
        <f t="shared" si="15"/>
        <v>41.570587913210858</v>
      </c>
      <c r="F38" s="122">
        <f t="shared" si="16"/>
        <v>22.719151978650181</v>
      </c>
      <c r="G38" s="122">
        <f t="shared" si="17"/>
        <v>21.036523139170992</v>
      </c>
      <c r="H38" s="122">
        <f t="shared" si="18"/>
        <v>1.8601414002052015</v>
      </c>
      <c r="I38" s="122">
        <f t="shared" si="18"/>
        <v>1.9909288268623575</v>
      </c>
      <c r="J38" s="40"/>
      <c r="K38" s="40"/>
    </row>
    <row r="39" spans="1:19" s="36" customFormat="1" hidden="1" x14ac:dyDescent="0.25">
      <c r="A39" s="163" t="s">
        <v>25</v>
      </c>
      <c r="B39" s="65">
        <v>16</v>
      </c>
      <c r="C39" s="166"/>
      <c r="D39" s="122">
        <f t="shared" si="15"/>
        <v>16.891573275670169</v>
      </c>
      <c r="E39" s="122">
        <f t="shared" si="15"/>
        <v>16.769274517410633</v>
      </c>
      <c r="F39" s="122">
        <f t="shared" si="16"/>
        <v>16.918834521911464</v>
      </c>
      <c r="G39" s="122">
        <f t="shared" si="17"/>
        <v>14.847361943625314</v>
      </c>
      <c r="H39" s="122">
        <f t="shared" si="18"/>
        <v>0.99838870424520154</v>
      </c>
      <c r="I39" s="122">
        <f t="shared" si="18"/>
        <v>1.0630192267694205</v>
      </c>
      <c r="J39" s="40"/>
      <c r="K39" s="40"/>
    </row>
    <row r="40" spans="1:19" s="36" customFormat="1" hidden="1" x14ac:dyDescent="0.25">
      <c r="A40" s="163" t="s">
        <v>26</v>
      </c>
      <c r="B40" s="65">
        <v>17</v>
      </c>
      <c r="C40" s="166"/>
      <c r="D40" s="122">
        <f t="shared" si="15"/>
        <v>12.278833750426756</v>
      </c>
      <c r="E40" s="122">
        <f t="shared" si="15"/>
        <v>11.870300641456028</v>
      </c>
      <c r="F40" s="122">
        <f t="shared" si="16"/>
        <v>3.0461244045014761</v>
      </c>
      <c r="G40" s="122">
        <f t="shared" si="17"/>
        <v>2.8788788897613733</v>
      </c>
      <c r="H40" s="122">
        <f t="shared" si="18"/>
        <v>4.030969231683855</v>
      </c>
      <c r="I40" s="122">
        <f t="shared" si="18"/>
        <v>4.4063020053111508</v>
      </c>
      <c r="J40" s="40"/>
      <c r="K40" s="40"/>
    </row>
    <row r="41" spans="1:19" s="36" customFormat="1" x14ac:dyDescent="0.25">
      <c r="A41" s="160" t="s">
        <v>27</v>
      </c>
      <c r="B41" s="65">
        <v>18</v>
      </c>
      <c r="C41" s="166" t="s">
        <v>16</v>
      </c>
      <c r="D41" s="122">
        <f t="shared" si="15"/>
        <v>29.170407026096925</v>
      </c>
      <c r="E41" s="122">
        <f t="shared" si="15"/>
        <v>28.639575158866659</v>
      </c>
      <c r="F41" s="122">
        <f t="shared" si="16"/>
        <v>19.96495892641294</v>
      </c>
      <c r="G41" s="122">
        <f t="shared" si="17"/>
        <v>17.72624083338669</v>
      </c>
      <c r="H41" s="122">
        <f t="shared" si="18"/>
        <v>1.4610802423192315</v>
      </c>
      <c r="I41" s="122">
        <f t="shared" si="18"/>
        <v>1.6059942604561115</v>
      </c>
      <c r="J41" s="40"/>
      <c r="K41" s="40"/>
    </row>
    <row r="42" spans="1:19" s="36" customFormat="1" x14ac:dyDescent="0.25">
      <c r="A42" s="159" t="s">
        <v>63</v>
      </c>
      <c r="B42" s="65">
        <v>19</v>
      </c>
      <c r="C42" s="166" t="s">
        <v>16</v>
      </c>
      <c r="D42" s="122">
        <f t="shared" si="15"/>
        <v>13.0904281469442</v>
      </c>
      <c r="E42" s="122">
        <f t="shared" si="15"/>
        <v>12.931012754344193</v>
      </c>
      <c r="F42" s="122">
        <f t="shared" si="16"/>
        <v>2.7541930522372429</v>
      </c>
      <c r="G42" s="122">
        <f t="shared" si="17"/>
        <v>3.310282305784304</v>
      </c>
      <c r="H42" s="122">
        <f t="shared" si="18"/>
        <v>4.7529087099797849</v>
      </c>
      <c r="I42" s="122">
        <f t="shared" si="18"/>
        <v>4.0522161126292779</v>
      </c>
      <c r="J42" s="40"/>
      <c r="K42" s="40"/>
    </row>
    <row r="43" spans="1:19" s="36" customFormat="1" x14ac:dyDescent="0.25">
      <c r="A43" s="160" t="s">
        <v>32</v>
      </c>
      <c r="B43" s="65">
        <v>20</v>
      </c>
      <c r="C43" s="166" t="s">
        <v>16</v>
      </c>
      <c r="D43" s="122">
        <f t="shared" si="15"/>
        <v>7.9626680238386021</v>
      </c>
      <c r="E43" s="122">
        <f t="shared" si="15"/>
        <v>7.7841607842970726</v>
      </c>
      <c r="F43" s="122">
        <f t="shared" si="16"/>
        <v>10.373938351414756</v>
      </c>
      <c r="G43" s="122">
        <f t="shared" si="17"/>
        <v>10.317066506039469</v>
      </c>
      <c r="H43" s="122">
        <f t="shared" si="18"/>
        <v>0.76756461761243111</v>
      </c>
      <c r="I43" s="122">
        <f t="shared" si="18"/>
        <v>0.7939850272725496</v>
      </c>
      <c r="J43" s="40"/>
      <c r="K43" s="40"/>
    </row>
    <row r="44" spans="1:19" s="36" customFormat="1" x14ac:dyDescent="0.25">
      <c r="A44" s="159" t="s">
        <v>33</v>
      </c>
      <c r="B44" s="65">
        <v>21</v>
      </c>
      <c r="C44" s="166" t="s">
        <v>16</v>
      </c>
      <c r="D44" s="122">
        <f t="shared" ref="D44:E46" si="19">+(D22/D$24)*100</f>
        <v>6.2451856542520652</v>
      </c>
      <c r="E44" s="122">
        <f t="shared" si="19"/>
        <v>6.1063482304737899</v>
      </c>
      <c r="F44" s="122">
        <f t="shared" si="16"/>
        <v>4.3137387359911976</v>
      </c>
      <c r="G44" s="122">
        <f t="shared" si="17"/>
        <v>4.4898614330704048</v>
      </c>
      <c r="H44" s="122">
        <f t="shared" si="18"/>
        <v>1.4477431380222581</v>
      </c>
      <c r="I44" s="122">
        <f t="shared" si="18"/>
        <v>1.4358751961511171</v>
      </c>
      <c r="J44" s="40"/>
      <c r="K44" s="40"/>
    </row>
    <row r="45" spans="1:19" s="36" customFormat="1" x14ac:dyDescent="0.25">
      <c r="A45" s="164" t="s">
        <v>35</v>
      </c>
      <c r="B45" s="65">
        <v>22</v>
      </c>
      <c r="C45" s="166" t="s">
        <v>16</v>
      </c>
      <c r="D45" s="122">
        <f t="shared" si="19"/>
        <v>1.7174823695865375</v>
      </c>
      <c r="E45" s="122">
        <f t="shared" si="19"/>
        <v>1.6778125538232829</v>
      </c>
      <c r="F45" s="122">
        <f t="shared" si="16"/>
        <v>6.0601996154235573</v>
      </c>
      <c r="G45" s="122">
        <f t="shared" si="17"/>
        <v>5.8272050729690639</v>
      </c>
      <c r="H45" s="122">
        <f t="shared" si="18"/>
        <v>0.28340359700618534</v>
      </c>
      <c r="I45" s="122">
        <f t="shared" si="18"/>
        <v>0.29940866048501491</v>
      </c>
      <c r="J45" s="40"/>
      <c r="K45" s="40"/>
    </row>
    <row r="46" spans="1:19" s="36" customFormat="1" x14ac:dyDescent="0.25">
      <c r="A46" s="165" t="s">
        <v>37</v>
      </c>
      <c r="B46" s="65">
        <v>23</v>
      </c>
      <c r="C46" s="166" t="s">
        <v>16</v>
      </c>
      <c r="D46" s="122">
        <f t="shared" si="19"/>
        <v>100</v>
      </c>
      <c r="E46" s="122">
        <f t="shared" si="19"/>
        <v>100</v>
      </c>
      <c r="F46" s="122">
        <f t="shared" si="16"/>
        <v>100</v>
      </c>
      <c r="G46" s="122">
        <f t="shared" si="17"/>
        <v>100</v>
      </c>
      <c r="H46" s="122">
        <f t="shared" ref="H46:I46" si="20">+J24/J$24</f>
        <v>1</v>
      </c>
      <c r="I46" s="122">
        <f t="shared" si="20"/>
        <v>1</v>
      </c>
      <c r="J46" s="40"/>
      <c r="K46" s="40"/>
    </row>
    <row r="47" spans="1:19" s="36" customFormat="1" hidden="1" x14ac:dyDescent="0.25">
      <c r="A47" s="124" t="s">
        <v>72</v>
      </c>
      <c r="B47" s="37"/>
      <c r="C47" s="38"/>
      <c r="D47" s="39"/>
      <c r="E47" s="39"/>
      <c r="F47" s="39"/>
      <c r="G47" s="39"/>
      <c r="H47" s="39"/>
      <c r="I47" s="41">
        <f>+I30+I32+I33+I34+I35+I39+I40+I42+I44+I45</f>
        <v>74.73694228414422</v>
      </c>
      <c r="J47" s="39"/>
      <c r="K47" s="41"/>
      <c r="L47" s="41"/>
      <c r="M47" s="41"/>
      <c r="N47" s="142"/>
      <c r="O47" s="40"/>
      <c r="P47" s="40"/>
      <c r="Q47" s="40"/>
      <c r="R47" s="40"/>
      <c r="S47" s="40"/>
    </row>
    <row r="48" spans="1:19" s="36" customFormat="1" x14ac:dyDescent="0.25">
      <c r="A48" s="125" t="s">
        <v>72</v>
      </c>
      <c r="B48" s="65"/>
      <c r="C48" s="166" t="s">
        <v>16</v>
      </c>
      <c r="D48" s="39"/>
      <c r="E48" s="43" t="s">
        <v>68</v>
      </c>
      <c r="F48" s="171">
        <v>1</v>
      </c>
      <c r="G48" s="39"/>
      <c r="H48" s="39"/>
      <c r="I48" s="41">
        <f>+I30+I32+I33+I36+I41+I42+I44+I45</f>
        <v>67.793634407644618</v>
      </c>
      <c r="J48" s="143"/>
      <c r="K48" s="39"/>
      <c r="L48" s="40"/>
      <c r="M48" s="40"/>
      <c r="N48" s="40"/>
      <c r="O48" s="40"/>
      <c r="P48" s="40"/>
    </row>
    <row r="49" spans="1:16" s="36" customFormat="1" ht="24" x14ac:dyDescent="0.25">
      <c r="A49" s="7" t="s">
        <v>69</v>
      </c>
      <c r="B49" s="65"/>
      <c r="C49" s="166" t="s">
        <v>16</v>
      </c>
      <c r="D49" s="344" t="s">
        <v>240</v>
      </c>
      <c r="E49" s="345"/>
      <c r="F49" s="254" t="s">
        <v>40</v>
      </c>
      <c r="G49" s="39"/>
      <c r="H49" s="39"/>
      <c r="I49" s="39"/>
      <c r="J49" s="39"/>
      <c r="K49" s="40"/>
      <c r="L49" s="40"/>
      <c r="M49" s="40"/>
      <c r="N49" s="40"/>
      <c r="O49" s="40"/>
      <c r="P49" s="40"/>
    </row>
    <row r="50" spans="1:16" s="36" customFormat="1" ht="24" x14ac:dyDescent="0.25">
      <c r="A50" s="167" t="s">
        <v>71</v>
      </c>
      <c r="B50" s="65"/>
      <c r="C50" s="166" t="s">
        <v>16</v>
      </c>
      <c r="D50" s="182">
        <v>2010</v>
      </c>
      <c r="E50" s="181">
        <v>2011</v>
      </c>
      <c r="F50" s="184" t="s">
        <v>241</v>
      </c>
      <c r="G50" s="39"/>
      <c r="H50" s="39"/>
      <c r="I50" s="39"/>
      <c r="J50" s="39"/>
      <c r="K50" s="40"/>
      <c r="L50" s="40"/>
      <c r="M50" s="40"/>
      <c r="N50" s="40"/>
      <c r="O50" s="40"/>
      <c r="P50" s="40"/>
    </row>
    <row r="51" spans="1:16" s="36" customFormat="1" x14ac:dyDescent="0.25">
      <c r="A51" s="157" t="s">
        <v>14</v>
      </c>
      <c r="B51" s="65">
        <v>7</v>
      </c>
      <c r="C51" s="166" t="s">
        <v>16</v>
      </c>
      <c r="D51" s="217">
        <f>(J8/$J8)*100</f>
        <v>100</v>
      </c>
      <c r="E51" s="217">
        <f>(K8/$J8)*100</f>
        <v>100.93722066155244</v>
      </c>
      <c r="F51" s="123">
        <f>EXP(LN(K8/J8)/$F$48)-1</f>
        <v>9.3722066155244033E-3</v>
      </c>
      <c r="G51" s="39"/>
      <c r="H51" s="39"/>
      <c r="I51" s="39"/>
      <c r="J51" s="39"/>
      <c r="K51" s="40"/>
      <c r="L51" s="40"/>
      <c r="M51" s="40"/>
      <c r="N51" s="40"/>
      <c r="O51" s="40"/>
      <c r="P51" s="40"/>
    </row>
    <row r="52" spans="1:16" s="36" customFormat="1" x14ac:dyDescent="0.25">
      <c r="A52" s="158" t="s">
        <v>17</v>
      </c>
      <c r="B52" s="65">
        <v>8</v>
      </c>
      <c r="C52" s="166" t="s">
        <v>16</v>
      </c>
      <c r="D52" s="217">
        <f t="shared" ref="D52:E52" si="21">(J9/$J9)*100</f>
        <v>100</v>
      </c>
      <c r="E52" s="217">
        <f t="shared" si="21"/>
        <v>96.90967014293679</v>
      </c>
      <c r="F52" s="123">
        <f>EXP(LN(K9/J9)/$F$48)-1</f>
        <v>-3.0903298570632121E-2</v>
      </c>
      <c r="G52" s="39"/>
      <c r="H52" s="39"/>
      <c r="I52" s="39"/>
      <c r="J52" s="39"/>
      <c r="K52" s="40"/>
      <c r="L52" s="40"/>
      <c r="M52" s="40"/>
      <c r="N52" s="40"/>
      <c r="O52" s="40"/>
      <c r="P52" s="40"/>
    </row>
    <row r="53" spans="1:16" s="36" customFormat="1" x14ac:dyDescent="0.25">
      <c r="A53" s="159" t="s">
        <v>19</v>
      </c>
      <c r="B53" s="65">
        <v>9</v>
      </c>
      <c r="C53" s="166" t="s">
        <v>16</v>
      </c>
      <c r="D53" s="217">
        <f t="shared" ref="D53:E53" si="22">(J10/$J10)*100</f>
        <v>100</v>
      </c>
      <c r="E53" s="217">
        <f t="shared" si="22"/>
        <v>87.831359517942815</v>
      </c>
      <c r="F53" s="123">
        <f>EXP(LN(K10/J10)/$F$48)-1</f>
        <v>-0.1216864048205718</v>
      </c>
      <c r="G53" s="39"/>
      <c r="H53" s="39"/>
      <c r="I53" s="39"/>
      <c r="J53" s="39"/>
      <c r="K53" s="40"/>
      <c r="L53" s="40"/>
      <c r="M53" s="40"/>
      <c r="N53" s="40"/>
      <c r="O53" s="40"/>
      <c r="P53" s="40"/>
    </row>
    <row r="54" spans="1:16" s="36" customFormat="1" x14ac:dyDescent="0.25">
      <c r="A54" s="160" t="s">
        <v>20</v>
      </c>
      <c r="B54" s="65">
        <v>10</v>
      </c>
      <c r="C54" s="166" t="s">
        <v>16</v>
      </c>
      <c r="D54" s="217">
        <f t="shared" ref="D54:E54" si="23">(J11/$J11)*100</f>
        <v>100</v>
      </c>
      <c r="E54" s="217">
        <f t="shared" si="23"/>
        <v>102.71022495263715</v>
      </c>
      <c r="F54" s="123">
        <f t="shared" ref="F54:F67" si="24">EXP(LN(K11/J11)/$F$48)-1</f>
        <v>2.7102249526371525E-2</v>
      </c>
      <c r="G54" s="39"/>
      <c r="H54" s="39"/>
      <c r="I54" s="39"/>
      <c r="J54" s="39"/>
      <c r="K54" s="40"/>
      <c r="L54" s="40"/>
      <c r="M54" s="40"/>
      <c r="N54" s="40"/>
      <c r="O54" s="40"/>
      <c r="P54" s="40"/>
    </row>
    <row r="55" spans="1:16" s="36" customFormat="1" hidden="1" x14ac:dyDescent="0.25">
      <c r="A55" s="160" t="s">
        <v>21</v>
      </c>
      <c r="B55" s="65">
        <v>11</v>
      </c>
      <c r="C55" s="166"/>
      <c r="D55" s="217">
        <f t="shared" ref="D55:E55" si="25">(J12/$J12)*100</f>
        <v>100</v>
      </c>
      <c r="E55" s="217">
        <f t="shared" si="25"/>
        <v>107.79775078874869</v>
      </c>
      <c r="F55" s="123">
        <f t="shared" si="24"/>
        <v>7.7977507887486919E-2</v>
      </c>
      <c r="G55" s="39"/>
      <c r="H55" s="39"/>
      <c r="I55" s="39"/>
      <c r="J55" s="39"/>
      <c r="K55" s="40"/>
      <c r="L55" s="40"/>
      <c r="M55" s="40"/>
      <c r="N55" s="40"/>
      <c r="O55" s="40"/>
      <c r="P55" s="40"/>
    </row>
    <row r="56" spans="1:16" s="36" customFormat="1" hidden="1" x14ac:dyDescent="0.25">
      <c r="A56" s="160" t="s">
        <v>22</v>
      </c>
      <c r="B56" s="65">
        <v>12</v>
      </c>
      <c r="C56" s="166"/>
      <c r="D56" s="217">
        <f t="shared" ref="D56:E56" si="26">(J13/$J13)*100</f>
        <v>100</v>
      </c>
      <c r="E56" s="217">
        <f t="shared" si="26"/>
        <v>97.762874772716245</v>
      </c>
      <c r="F56" s="123">
        <f t="shared" si="24"/>
        <v>-2.2371252272837538E-2</v>
      </c>
      <c r="G56" s="39"/>
      <c r="H56" s="39"/>
      <c r="I56" s="39"/>
      <c r="J56" s="39"/>
      <c r="K56" s="40"/>
      <c r="L56" s="40"/>
      <c r="M56" s="40"/>
      <c r="N56" s="40"/>
      <c r="O56" s="40"/>
      <c r="P56" s="40"/>
    </row>
    <row r="57" spans="1:16" s="36" customFormat="1" x14ac:dyDescent="0.25">
      <c r="A57" s="161" t="s">
        <v>61</v>
      </c>
      <c r="B57" s="65">
        <v>13</v>
      </c>
      <c r="C57" s="166" t="s">
        <v>16</v>
      </c>
      <c r="D57" s="217">
        <f t="shared" ref="D57:E57" si="27">(J14/$J14)*100</f>
        <v>100</v>
      </c>
      <c r="E57" s="217">
        <f t="shared" si="27"/>
        <v>100.51617225092318</v>
      </c>
      <c r="F57" s="123">
        <f t="shared" si="24"/>
        <v>5.1617225092317476E-3</v>
      </c>
      <c r="G57" s="39"/>
      <c r="H57" s="39"/>
      <c r="I57" s="39"/>
      <c r="J57" s="39"/>
      <c r="K57" s="40"/>
      <c r="L57" s="40"/>
      <c r="M57" s="40"/>
      <c r="N57" s="40"/>
      <c r="O57" s="40"/>
      <c r="P57" s="40"/>
    </row>
    <row r="58" spans="1:16" s="36" customFormat="1" x14ac:dyDescent="0.25">
      <c r="A58" s="162" t="s">
        <v>23</v>
      </c>
      <c r="B58" s="65">
        <v>14</v>
      </c>
      <c r="C58" s="166" t="s">
        <v>16</v>
      </c>
      <c r="D58" s="217">
        <f t="shared" ref="D58:E58" si="28">(J15/$J15)*100</f>
        <v>100</v>
      </c>
      <c r="E58" s="217">
        <f t="shared" si="28"/>
        <v>109.8903398040316</v>
      </c>
      <c r="F58" s="123">
        <f t="shared" si="24"/>
        <v>9.8903398040316004E-2</v>
      </c>
      <c r="G58" s="39"/>
      <c r="H58" s="39"/>
      <c r="I58" s="39"/>
      <c r="J58" s="39"/>
      <c r="K58" s="40"/>
      <c r="L58" s="40"/>
      <c r="M58" s="40"/>
      <c r="N58" s="40"/>
      <c r="O58" s="40"/>
      <c r="P58" s="40"/>
    </row>
    <row r="59" spans="1:16" s="36" customFormat="1" x14ac:dyDescent="0.25">
      <c r="A59" s="159" t="s">
        <v>24</v>
      </c>
      <c r="B59" s="65">
        <v>15</v>
      </c>
      <c r="C59" s="166" t="s">
        <v>16</v>
      </c>
      <c r="D59" s="217">
        <f t="shared" ref="D59:E59" si="29">(J16/$J16)*100</f>
        <v>100</v>
      </c>
      <c r="E59" s="217">
        <f t="shared" si="29"/>
        <v>111.76750215074334</v>
      </c>
      <c r="F59" s="123">
        <f t="shared" si="24"/>
        <v>0.11767502150743336</v>
      </c>
      <c r="G59" s="39"/>
      <c r="H59" s="39"/>
      <c r="I59" s="39"/>
      <c r="J59" s="39"/>
      <c r="K59" s="40"/>
      <c r="L59" s="40"/>
      <c r="M59" s="40"/>
      <c r="N59" s="40"/>
      <c r="O59" s="40"/>
      <c r="P59" s="40"/>
    </row>
    <row r="60" spans="1:16" s="36" customFormat="1" hidden="1" x14ac:dyDescent="0.25">
      <c r="A60" s="163" t="s">
        <v>25</v>
      </c>
      <c r="B60" s="65">
        <v>16</v>
      </c>
      <c r="C60" s="166"/>
      <c r="D60" s="217">
        <f t="shared" ref="D60:E60" si="30">(J17/$J17)*100</f>
        <v>100</v>
      </c>
      <c r="E60" s="217">
        <f t="shared" si="30"/>
        <v>111.18526357474214</v>
      </c>
      <c r="F60" s="123">
        <f t="shared" si="24"/>
        <v>0.11185263574742144</v>
      </c>
      <c r="G60" s="39"/>
      <c r="H60" s="39"/>
      <c r="I60" s="39"/>
      <c r="J60" s="39"/>
      <c r="K60" s="40"/>
      <c r="L60" s="40"/>
      <c r="M60" s="40"/>
      <c r="N60" s="40"/>
      <c r="O60" s="40"/>
      <c r="P60" s="40"/>
    </row>
    <row r="61" spans="1:16" s="36" customFormat="1" hidden="1" x14ac:dyDescent="0.25">
      <c r="A61" s="163" t="s">
        <v>26</v>
      </c>
      <c r="B61" s="65">
        <v>17</v>
      </c>
      <c r="C61" s="166"/>
      <c r="D61" s="217">
        <f t="shared" ref="D61:E61" si="31">(J18/$J18)*100</f>
        <v>100</v>
      </c>
      <c r="E61" s="217">
        <f t="shared" si="31"/>
        <v>114.14858859466743</v>
      </c>
      <c r="F61" s="123">
        <f t="shared" si="24"/>
        <v>0.14148588594667433</v>
      </c>
      <c r="G61" s="39"/>
      <c r="H61" s="39"/>
      <c r="I61" s="39"/>
      <c r="J61" s="39"/>
      <c r="K61" s="40"/>
      <c r="L61" s="40"/>
      <c r="M61" s="40"/>
      <c r="N61" s="40"/>
      <c r="O61" s="40"/>
      <c r="P61" s="40"/>
    </row>
    <row r="62" spans="1:16" s="36" customFormat="1" x14ac:dyDescent="0.25">
      <c r="A62" s="160" t="s">
        <v>27</v>
      </c>
      <c r="B62" s="65">
        <v>18</v>
      </c>
      <c r="C62" s="166" t="s">
        <v>16</v>
      </c>
      <c r="D62" s="217">
        <f t="shared" ref="D62:E62" si="32">(J19/$J19)*100</f>
        <v>100</v>
      </c>
      <c r="E62" s="217">
        <f t="shared" si="32"/>
        <v>114.78250273167656</v>
      </c>
      <c r="F62" s="123">
        <f t="shared" si="24"/>
        <v>0.14782502731676561</v>
      </c>
      <c r="G62" s="39"/>
      <c r="H62" s="39"/>
      <c r="I62" s="39"/>
      <c r="J62" s="39"/>
      <c r="K62" s="40"/>
      <c r="L62" s="40"/>
      <c r="M62" s="40"/>
      <c r="N62" s="40"/>
      <c r="O62" s="40"/>
      <c r="P62" s="40"/>
    </row>
    <row r="63" spans="1:16" s="36" customFormat="1" x14ac:dyDescent="0.25">
      <c r="A63" s="159" t="s">
        <v>63</v>
      </c>
      <c r="B63" s="65">
        <v>19</v>
      </c>
      <c r="C63" s="166" t="s">
        <v>16</v>
      </c>
      <c r="D63" s="217">
        <f t="shared" ref="D63:E63" si="33">(J20/$J20)*100</f>
        <v>100</v>
      </c>
      <c r="E63" s="217">
        <f t="shared" si="33"/>
        <v>89.030517001057277</v>
      </c>
      <c r="F63" s="123">
        <f t="shared" si="24"/>
        <v>-0.10969482998942726</v>
      </c>
      <c r="G63" s="39"/>
      <c r="H63" s="39"/>
      <c r="I63" s="39"/>
      <c r="J63" s="39"/>
      <c r="K63" s="40"/>
      <c r="L63" s="40"/>
      <c r="M63" s="40"/>
      <c r="N63" s="40"/>
      <c r="O63" s="40"/>
      <c r="P63" s="40"/>
    </row>
    <row r="64" spans="1:16" s="36" customFormat="1" x14ac:dyDescent="0.25">
      <c r="A64" s="160" t="s">
        <v>32</v>
      </c>
      <c r="B64" s="65">
        <v>20</v>
      </c>
      <c r="C64" s="166" t="s">
        <v>16</v>
      </c>
      <c r="D64" s="217">
        <f t="shared" ref="D64:E64" si="34">(J21/$J21)*100</f>
        <v>100</v>
      </c>
      <c r="E64" s="217">
        <f t="shared" si="34"/>
        <v>108.01974180963647</v>
      </c>
      <c r="F64" s="123">
        <f t="shared" si="24"/>
        <v>8.0197418096364714E-2</v>
      </c>
      <c r="G64" s="39"/>
      <c r="H64" s="39"/>
      <c r="I64" s="39"/>
      <c r="J64" s="39"/>
      <c r="K64" s="40"/>
      <c r="L64" s="40"/>
      <c r="M64" s="40"/>
      <c r="N64" s="40"/>
      <c r="O64" s="40"/>
      <c r="P64" s="40"/>
    </row>
    <row r="65" spans="1:19" s="36" customFormat="1" x14ac:dyDescent="0.25">
      <c r="A65" s="159" t="s">
        <v>33</v>
      </c>
      <c r="B65" s="65">
        <v>21</v>
      </c>
      <c r="C65" s="166" t="s">
        <v>16</v>
      </c>
      <c r="D65" s="217">
        <f t="shared" ref="D65:E65" si="35">(J22/$J22)*100</f>
        <v>100</v>
      </c>
      <c r="E65" s="217">
        <f t="shared" si="35"/>
        <v>103.56927766391317</v>
      </c>
      <c r="F65" s="123">
        <f t="shared" si="24"/>
        <v>3.5692776639131729E-2</v>
      </c>
      <c r="G65" s="39"/>
      <c r="H65" s="39"/>
      <c r="I65" s="39"/>
      <c r="J65" s="39"/>
      <c r="K65" s="40"/>
      <c r="L65" s="40"/>
      <c r="M65" s="40"/>
      <c r="N65" s="40"/>
      <c r="O65" s="40"/>
      <c r="P65" s="40"/>
    </row>
    <row r="66" spans="1:19" s="36" customFormat="1" x14ac:dyDescent="0.25">
      <c r="A66" s="164" t="s">
        <v>35</v>
      </c>
      <c r="B66" s="65">
        <v>22</v>
      </c>
      <c r="C66" s="166" t="s">
        <v>16</v>
      </c>
      <c r="D66" s="217">
        <f t="shared" ref="D66:E66" si="36">(J23/$J23)*100</f>
        <v>100</v>
      </c>
      <c r="E66" s="217">
        <f t="shared" si="36"/>
        <v>110.32267134084952</v>
      </c>
      <c r="F66" s="123">
        <f t="shared" si="24"/>
        <v>0.10322671340849521</v>
      </c>
      <c r="G66" s="39"/>
      <c r="H66" s="39"/>
      <c r="I66" s="39"/>
      <c r="J66" s="39"/>
      <c r="K66" s="40"/>
      <c r="L66" s="40"/>
      <c r="M66" s="40"/>
      <c r="N66" s="40"/>
      <c r="O66" s="40"/>
      <c r="P66" s="40"/>
    </row>
    <row r="67" spans="1:19" s="36" customFormat="1" x14ac:dyDescent="0.25">
      <c r="A67" s="168" t="s">
        <v>37</v>
      </c>
      <c r="B67" s="65">
        <v>23</v>
      </c>
      <c r="C67" s="166" t="s">
        <v>16</v>
      </c>
      <c r="D67" s="217">
        <f t="shared" ref="D67:E67" si="37">(J24/$J24)*100</f>
        <v>100</v>
      </c>
      <c r="E67" s="217">
        <f t="shared" si="37"/>
        <v>104.42530900301989</v>
      </c>
      <c r="F67" s="123">
        <f t="shared" si="24"/>
        <v>4.4253090030198949E-2</v>
      </c>
      <c r="G67" s="39"/>
      <c r="H67" s="39"/>
      <c r="I67" s="39"/>
      <c r="J67" s="39"/>
      <c r="K67" s="40"/>
      <c r="L67" s="40"/>
      <c r="M67" s="40"/>
      <c r="N67" s="40"/>
      <c r="O67" s="40"/>
      <c r="P67" s="40"/>
    </row>
    <row r="68" spans="1:19" s="36" customFormat="1" hidden="1" x14ac:dyDescent="0.25">
      <c r="B68" s="37"/>
      <c r="C68" s="38"/>
      <c r="D68" s="39"/>
      <c r="E68" s="39"/>
      <c r="F68" s="261">
        <f>+F51+F53+F54+F55+F56+F60+F61+F63+F66+F65</f>
        <v>0.25295748868826895</v>
      </c>
      <c r="G68" s="39"/>
      <c r="H68" s="39"/>
      <c r="I68" s="39"/>
      <c r="J68" s="39"/>
      <c r="K68" s="39"/>
      <c r="L68" s="39"/>
      <c r="M68" s="39"/>
      <c r="N68" s="40"/>
      <c r="O68" s="40"/>
      <c r="P68" s="40"/>
      <c r="Q68" s="40"/>
      <c r="R68" s="40"/>
      <c r="S68" s="40"/>
    </row>
    <row r="69" spans="1:19" x14ac:dyDescent="0.25">
      <c r="A69" s="6"/>
      <c r="B69" s="218"/>
      <c r="C69" s="219"/>
      <c r="D69" s="6"/>
      <c r="E69" s="6"/>
      <c r="F69" s="220"/>
      <c r="G69" s="6"/>
    </row>
    <row r="70" spans="1:19" x14ac:dyDescent="0.25">
      <c r="A70" s="6"/>
      <c r="B70" s="218"/>
      <c r="C70" s="219"/>
      <c r="D70" s="6"/>
      <c r="E70" s="6"/>
      <c r="F70" s="220"/>
      <c r="G70" s="6"/>
    </row>
    <row r="71" spans="1:19" x14ac:dyDescent="0.25">
      <c r="A71" s="6"/>
      <c r="B71" s="218"/>
      <c r="C71" s="219"/>
      <c r="D71" s="6"/>
      <c r="E71" s="6"/>
      <c r="F71" s="220"/>
      <c r="G71" s="6"/>
    </row>
    <row r="72" spans="1:19" x14ac:dyDescent="0.25">
      <c r="A72" s="6"/>
      <c r="B72" s="218"/>
      <c r="C72" s="219"/>
      <c r="D72" s="6"/>
      <c r="E72" s="6"/>
      <c r="F72" s="220"/>
      <c r="G72" s="6"/>
    </row>
    <row r="73" spans="1:19" x14ac:dyDescent="0.25">
      <c r="A73" s="6"/>
      <c r="B73" s="218"/>
      <c r="C73" s="219"/>
      <c r="D73" s="6"/>
      <c r="E73" s="6"/>
      <c r="F73" s="220"/>
      <c r="G73" s="6"/>
    </row>
    <row r="74" spans="1:19" x14ac:dyDescent="0.25">
      <c r="A74" s="6"/>
      <c r="B74" s="218"/>
      <c r="C74" s="219"/>
      <c r="D74" s="6"/>
      <c r="E74" s="6"/>
      <c r="F74" s="220"/>
      <c r="G74" s="6"/>
    </row>
    <row r="75" spans="1:19" x14ac:dyDescent="0.25">
      <c r="A75" s="6"/>
      <c r="B75" s="218"/>
      <c r="C75" s="219"/>
      <c r="D75" s="6"/>
      <c r="E75" s="6"/>
      <c r="F75" s="220"/>
      <c r="G75" s="6"/>
    </row>
    <row r="76" spans="1:19" x14ac:dyDescent="0.25">
      <c r="A76" s="6"/>
      <c r="B76" s="218"/>
      <c r="C76" s="219"/>
      <c r="D76" s="6"/>
      <c r="E76" s="6"/>
      <c r="F76" s="220"/>
      <c r="G76" s="6"/>
    </row>
    <row r="77" spans="1:19" x14ac:dyDescent="0.25">
      <c r="A77" s="6"/>
      <c r="B77" s="218"/>
      <c r="C77" s="219"/>
      <c r="D77" s="6"/>
      <c r="E77" s="6"/>
      <c r="F77" s="220"/>
      <c r="G77" s="6"/>
    </row>
    <row r="78" spans="1:19" x14ac:dyDescent="0.25">
      <c r="A78" s="6"/>
      <c r="B78" s="218"/>
      <c r="C78" s="219"/>
      <c r="D78" s="6"/>
      <c r="E78" s="6"/>
      <c r="F78" s="220"/>
      <c r="G78" s="6"/>
    </row>
    <row r="79" spans="1:19" x14ac:dyDescent="0.25">
      <c r="A79" s="6"/>
      <c r="B79" s="218"/>
      <c r="C79" s="219"/>
      <c r="D79" s="6"/>
      <c r="E79" s="6"/>
      <c r="F79" s="220"/>
      <c r="G79" s="6"/>
    </row>
    <row r="80" spans="1:19" x14ac:dyDescent="0.25">
      <c r="A80" s="6"/>
      <c r="B80" s="218"/>
      <c r="C80" s="219"/>
      <c r="D80" s="6"/>
      <c r="E80" s="6"/>
      <c r="F80" s="220"/>
      <c r="G80" s="6"/>
    </row>
    <row r="81" spans="1:7" x14ac:dyDescent="0.25">
      <c r="A81" s="6"/>
      <c r="B81" s="218"/>
      <c r="C81" s="219"/>
      <c r="D81" s="6"/>
      <c r="E81" s="6"/>
      <c r="F81" s="6"/>
      <c r="G81" s="6"/>
    </row>
  </sheetData>
  <autoFilter ref="A7:Y68">
    <filterColumn colId="2">
      <filters>
        <filter val="x"/>
      </filters>
    </filterColumn>
  </autoFilter>
  <mergeCells count="17">
    <mergeCell ref="D2:E2"/>
    <mergeCell ref="F2:I2"/>
    <mergeCell ref="J2:M2"/>
    <mergeCell ref="N2:S2"/>
    <mergeCell ref="D4:E4"/>
    <mergeCell ref="N4:S4"/>
    <mergeCell ref="H5:I5"/>
    <mergeCell ref="H28:I28"/>
    <mergeCell ref="J5:K5"/>
    <mergeCell ref="A5:A6"/>
    <mergeCell ref="B5:B6"/>
    <mergeCell ref="C5:C6"/>
    <mergeCell ref="D49:E49"/>
    <mergeCell ref="D28:E28"/>
    <mergeCell ref="D5:E5"/>
    <mergeCell ref="F5:G5"/>
    <mergeCell ref="F28:G28"/>
  </mergeCells>
  <pageMargins left="0.7" right="0.7" top="0.75" bottom="0.75" header="0.3" footer="0.3"/>
  <pageSetup paperSize="9"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Q19"/>
  <sheetViews>
    <sheetView showGridLines="0" workbookViewId="0">
      <selection activeCell="A2" sqref="A2"/>
    </sheetView>
  </sheetViews>
  <sheetFormatPr defaultRowHeight="12" x14ac:dyDescent="0.25"/>
  <cols>
    <col min="1" max="2" width="24.140625" customWidth="1"/>
  </cols>
  <sheetData>
    <row r="1" spans="1:17" ht="14.4" x14ac:dyDescent="0.25">
      <c r="A1" s="80" t="s">
        <v>39</v>
      </c>
      <c r="B1" s="80"/>
      <c r="C1" s="46"/>
      <c r="D1" s="46"/>
      <c r="E1" s="46"/>
      <c r="F1" s="46"/>
      <c r="G1" s="46"/>
      <c r="H1" s="46"/>
      <c r="I1" s="4"/>
      <c r="J1" s="4"/>
      <c r="K1" s="4"/>
      <c r="L1" s="6"/>
      <c r="M1" s="4"/>
      <c r="N1" s="4"/>
      <c r="O1" s="4"/>
      <c r="P1" s="4"/>
      <c r="Q1" s="4"/>
    </row>
    <row r="2" spans="1:17" x14ac:dyDescent="0.25">
      <c r="A2" s="364" t="s">
        <v>269</v>
      </c>
      <c r="B2" s="5"/>
      <c r="C2" s="4"/>
      <c r="D2" s="4"/>
      <c r="E2" s="4"/>
      <c r="F2" s="4"/>
      <c r="G2" s="4"/>
      <c r="H2" s="4"/>
      <c r="I2" s="4"/>
      <c r="J2" s="4"/>
      <c r="K2" s="4"/>
      <c r="L2" s="6"/>
      <c r="M2" s="4"/>
      <c r="N2" s="4"/>
      <c r="O2" s="4"/>
      <c r="P2" s="4"/>
      <c r="Q2" s="4"/>
    </row>
    <row r="3" spans="1:17" x14ac:dyDescent="0.25">
      <c r="A3" s="364"/>
      <c r="B3" s="5"/>
      <c r="C3" s="4"/>
      <c r="D3" s="4"/>
      <c r="E3" s="4"/>
      <c r="F3" s="4"/>
      <c r="G3" s="4"/>
      <c r="H3" s="4"/>
      <c r="I3" s="4"/>
      <c r="J3" s="4"/>
      <c r="K3" s="4"/>
      <c r="L3" s="6"/>
      <c r="M3" s="4"/>
      <c r="N3" s="4"/>
      <c r="O3" s="4"/>
      <c r="P3" s="4"/>
      <c r="Q3" s="4"/>
    </row>
    <row r="4" spans="1:17" ht="40.799999999999997" x14ac:dyDescent="0.25">
      <c r="A4" s="90" t="s">
        <v>241</v>
      </c>
      <c r="B4" s="238" t="s">
        <v>243</v>
      </c>
      <c r="C4" s="47" t="s">
        <v>42</v>
      </c>
      <c r="D4" s="238" t="s">
        <v>10</v>
      </c>
      <c r="E4" s="338" t="s">
        <v>43</v>
      </c>
      <c r="F4" s="339"/>
      <c r="G4" s="338" t="s">
        <v>44</v>
      </c>
      <c r="H4" s="339"/>
      <c r="I4" s="49"/>
      <c r="J4" s="49"/>
      <c r="K4" s="49"/>
      <c r="L4" s="50"/>
      <c r="M4" s="49"/>
      <c r="N4" s="49"/>
      <c r="O4" s="49"/>
      <c r="P4" s="49"/>
      <c r="Q4" s="49"/>
    </row>
    <row r="5" spans="1:17" ht="24" x14ac:dyDescent="0.25">
      <c r="A5" s="51"/>
      <c r="B5" s="51"/>
      <c r="C5" s="91" t="s">
        <v>11</v>
      </c>
      <c r="D5" s="52">
        <v>2011</v>
      </c>
      <c r="E5" s="53">
        <v>2010</v>
      </c>
      <c r="F5" s="53">
        <v>2011</v>
      </c>
      <c r="G5" s="53">
        <v>2010</v>
      </c>
      <c r="H5" s="53">
        <v>2011</v>
      </c>
      <c r="I5" s="54"/>
      <c r="J5" s="54"/>
      <c r="K5" s="54"/>
      <c r="L5" s="55"/>
      <c r="M5" s="54"/>
      <c r="N5" s="54"/>
      <c r="O5" s="54"/>
      <c r="P5" s="54"/>
      <c r="Q5" s="54"/>
    </row>
    <row r="6" spans="1:17" x14ac:dyDescent="0.25">
      <c r="A6" s="86" t="s">
        <v>14</v>
      </c>
      <c r="B6" s="86" t="s">
        <v>14</v>
      </c>
      <c r="C6" s="56">
        <f>+H6-G6</f>
        <v>1.1186434261780818</v>
      </c>
      <c r="D6" s="56">
        <f>+'GVA-productivity3'!I30</f>
        <v>0.38183551092318491</v>
      </c>
      <c r="E6" s="34">
        <f>VLOOKUP($A6,'GVA-productivity3'!$A$8:$I$24,8,FALSE)</f>
        <v>31587.173719515748</v>
      </c>
      <c r="F6" s="34">
        <f>VLOOKUP($A6,'GVA-productivity3'!$A$8:$I$24,9,FALSE)</f>
        <v>32374.589461203472</v>
      </c>
      <c r="G6" s="56">
        <f t="shared" ref="G6:H16" si="0">(+E6/E$16)*100</f>
        <v>60.65978783986079</v>
      </c>
      <c r="H6" s="56">
        <f t="shared" si="0"/>
        <v>61.778431266038872</v>
      </c>
      <c r="I6" s="4"/>
      <c r="J6" s="4"/>
      <c r="K6" s="4"/>
      <c r="L6" s="6"/>
      <c r="M6" s="4"/>
      <c r="N6" s="4"/>
      <c r="O6" s="4"/>
      <c r="P6" s="4"/>
      <c r="Q6" s="4"/>
    </row>
    <row r="7" spans="1:17" x14ac:dyDescent="0.25">
      <c r="A7" s="239" t="s">
        <v>19</v>
      </c>
      <c r="B7" s="239" t="s">
        <v>19</v>
      </c>
      <c r="C7" s="248">
        <f>+H7-G7</f>
        <v>3.9664591306807884E-2</v>
      </c>
      <c r="D7" s="240">
        <f>+'GVA-productivity3'!I32</f>
        <v>56.568552235046312</v>
      </c>
      <c r="E7" s="34">
        <f>VLOOKUP($A7,'GVA-productivity3'!$A$8:$I$24,8,FALSE)</f>
        <v>120.76237880177629</v>
      </c>
      <c r="F7" s="34">
        <f>VLOOKUP($A7,'GVA-productivity3'!$A$8:$I$24,9,FALSE)</f>
        <v>142.31756147002758</v>
      </c>
      <c r="G7" s="240">
        <f t="shared" si="0"/>
        <v>0.23191122897540944</v>
      </c>
      <c r="H7" s="240">
        <f t="shared" si="0"/>
        <v>0.27157582028221733</v>
      </c>
      <c r="I7" s="36" t="s">
        <v>111</v>
      </c>
      <c r="J7" s="36"/>
      <c r="K7" s="36"/>
      <c r="L7" s="42"/>
      <c r="M7" s="36"/>
      <c r="N7" s="36"/>
      <c r="O7" s="36"/>
      <c r="P7" s="36"/>
      <c r="Q7" s="36"/>
    </row>
    <row r="8" spans="1:17" x14ac:dyDescent="0.25">
      <c r="A8" s="86" t="s">
        <v>20</v>
      </c>
      <c r="B8" s="86" t="s">
        <v>20</v>
      </c>
      <c r="C8" s="56">
        <f t="shared" ref="C8:C16" si="1">+H8-G8</f>
        <v>0.29352776689525939</v>
      </c>
      <c r="D8" s="56">
        <f>+'GVA-productivity3'!I33</f>
        <v>1.5532566535751766</v>
      </c>
      <c r="E8" s="34">
        <f>VLOOKUP($A8,'GVA-productivity3'!$A$8:$I$24,8,FALSE)</f>
        <v>2176.9832314630107</v>
      </c>
      <c r="F8" s="34">
        <f>VLOOKUP($A8,'GVA-productivity3'!$A$8:$I$24,9,FALSE)</f>
        <v>2344.6710947562474</v>
      </c>
      <c r="G8" s="56">
        <f t="shared" si="0"/>
        <v>4.1806633959749302</v>
      </c>
      <c r="H8" s="56">
        <f t="shared" si="0"/>
        <v>4.4741911628701896</v>
      </c>
      <c r="I8" s="4"/>
      <c r="J8" s="4"/>
      <c r="K8" s="4"/>
      <c r="L8" s="6"/>
      <c r="M8" s="4"/>
      <c r="N8" s="4"/>
      <c r="O8" s="4"/>
      <c r="P8" s="4"/>
      <c r="Q8" s="4"/>
    </row>
    <row r="9" spans="1:17" x14ac:dyDescent="0.25">
      <c r="A9" s="86" t="s">
        <v>21</v>
      </c>
      <c r="B9" s="86" t="s">
        <v>21</v>
      </c>
      <c r="C9" s="56">
        <f t="shared" si="1"/>
        <v>5.429967927197929E-2</v>
      </c>
      <c r="D9" s="56">
        <f>+'GVA-productivity3'!I34</f>
        <v>3.2910520478124594</v>
      </c>
      <c r="E9" s="34">
        <f>VLOOKUP($A9,'GVA-productivity3'!$A$8:$I$24,8,FALSE)</f>
        <v>116.99698637672748</v>
      </c>
      <c r="F9" s="34">
        <f>VLOOKUP($A9,'GVA-productivity3'!$A$8:$I$24,9,FALSE)</f>
        <v>146.19760867399418</v>
      </c>
      <c r="G9" s="56">
        <f t="shared" si="0"/>
        <v>0.22468019565582628</v>
      </c>
      <c r="H9" s="56">
        <f t="shared" si="0"/>
        <v>0.27897987492780557</v>
      </c>
      <c r="I9" s="4"/>
      <c r="J9" s="4"/>
      <c r="K9" s="4"/>
      <c r="L9" s="6"/>
      <c r="M9" s="4"/>
      <c r="N9" s="4"/>
      <c r="O9" s="4"/>
      <c r="P9" s="4"/>
      <c r="Q9" s="4"/>
    </row>
    <row r="10" spans="1:17" x14ac:dyDescent="0.25">
      <c r="A10" s="86" t="s">
        <v>22</v>
      </c>
      <c r="B10" s="86" t="s">
        <v>22</v>
      </c>
      <c r="C10" s="56">
        <f t="shared" si="1"/>
        <v>0.23336522120234005</v>
      </c>
      <c r="D10" s="56">
        <f>+'GVA-productivity3'!I35</f>
        <v>1.6854246354411122</v>
      </c>
      <c r="E10" s="34">
        <f>VLOOKUP($A10,'GVA-productivity3'!$A$8:$I$24,8,FALSE)</f>
        <v>838.30080361690909</v>
      </c>
      <c r="F10" s="34">
        <f>VLOOKUP($A10,'GVA-productivity3'!$A$8:$I$24,9,FALSE)</f>
        <v>965.93399228022088</v>
      </c>
      <c r="G10" s="56">
        <f t="shared" si="0"/>
        <v>1.6098670094681107</v>
      </c>
      <c r="H10" s="56">
        <f t="shared" si="0"/>
        <v>1.8432322306704507</v>
      </c>
      <c r="I10" s="4"/>
      <c r="J10" s="4"/>
      <c r="K10" s="4"/>
      <c r="L10" s="6"/>
      <c r="M10" s="4"/>
      <c r="N10" s="4"/>
      <c r="O10" s="4"/>
      <c r="P10" s="4"/>
      <c r="Q10" s="4"/>
    </row>
    <row r="11" spans="1:17" x14ac:dyDescent="0.25">
      <c r="A11" s="87" t="s">
        <v>25</v>
      </c>
      <c r="B11" s="87" t="s">
        <v>25</v>
      </c>
      <c r="C11" s="56">
        <f t="shared" si="1"/>
        <v>-2.0714725782861496</v>
      </c>
      <c r="D11" s="56">
        <f>+'GVA-productivity3'!I39</f>
        <v>1.0630192267694205</v>
      </c>
      <c r="E11" s="34">
        <f>VLOOKUP($A11,'GVA-productivity3'!$A$8:$I$24,8,FALSE)</f>
        <v>8810.0895866335431</v>
      </c>
      <c r="F11" s="34">
        <f>VLOOKUP($A11,'GVA-productivity3'!$A$8:$I$24,9,FALSE)</f>
        <v>7780.6645079219716</v>
      </c>
      <c r="G11" s="56">
        <f t="shared" si="0"/>
        <v>16.918834521911464</v>
      </c>
      <c r="H11" s="56">
        <f t="shared" si="0"/>
        <v>14.847361943625314</v>
      </c>
      <c r="I11" s="4"/>
      <c r="J11" s="4"/>
      <c r="K11" s="4"/>
      <c r="L11" s="6"/>
      <c r="M11" s="4"/>
      <c r="N11" s="4"/>
      <c r="O11" s="4"/>
      <c r="P11" s="4"/>
      <c r="Q11" s="4"/>
    </row>
    <row r="12" spans="1:17" x14ac:dyDescent="0.25">
      <c r="A12" s="87" t="s">
        <v>26</v>
      </c>
      <c r="B12" s="87" t="s">
        <v>26</v>
      </c>
      <c r="C12" s="56">
        <f t="shared" si="1"/>
        <v>-0.16724551474010285</v>
      </c>
      <c r="D12" s="56">
        <f>+'GVA-productivity3'!I40</f>
        <v>4.4063020053111508</v>
      </c>
      <c r="E12" s="34">
        <f>VLOOKUP($A12,'GVA-productivity3'!$A$8:$I$24,8,FALSE)</f>
        <v>1586.1984382513363</v>
      </c>
      <c r="F12" s="34">
        <f>VLOOKUP($A12,'GVA-productivity3'!$A$8:$I$24,9,FALSE)</f>
        <v>1508.6579612743492</v>
      </c>
      <c r="G12" s="56">
        <f t="shared" si="0"/>
        <v>3.0461244045014761</v>
      </c>
      <c r="H12" s="56">
        <f t="shared" si="0"/>
        <v>2.8788788897613733</v>
      </c>
      <c r="I12" s="4"/>
      <c r="J12" s="4"/>
      <c r="K12" s="4"/>
      <c r="L12" s="6"/>
      <c r="M12" s="4"/>
      <c r="N12" s="4"/>
      <c r="O12" s="4"/>
      <c r="P12" s="4"/>
      <c r="Q12" s="4"/>
    </row>
    <row r="13" spans="1:17" x14ac:dyDescent="0.25">
      <c r="A13" s="78" t="s">
        <v>109</v>
      </c>
      <c r="B13" s="87" t="s">
        <v>46</v>
      </c>
      <c r="C13" s="56">
        <f t="shared" si="1"/>
        <v>0.55608925354706118</v>
      </c>
      <c r="D13" s="56">
        <f>+'GVA-productivity3'!I42</f>
        <v>4.0522161126292779</v>
      </c>
      <c r="E13" s="34">
        <f>VLOOKUP($A13,'GVA-productivity3'!$A$8:$I$24,8,FALSE)</f>
        <v>1434.181976167966</v>
      </c>
      <c r="F13" s="34">
        <f>VLOOKUP($A13,'GVA-productivity3'!$A$8:$I$24,9,FALSE)</f>
        <v>1734.732146061571</v>
      </c>
      <c r="G13" s="56">
        <f t="shared" si="0"/>
        <v>2.7541930522372429</v>
      </c>
      <c r="H13" s="56">
        <f t="shared" si="0"/>
        <v>3.310282305784304</v>
      </c>
      <c r="I13" s="4"/>
      <c r="J13" s="4"/>
      <c r="K13" s="4"/>
      <c r="L13" s="6"/>
      <c r="M13" s="4"/>
      <c r="N13" s="4"/>
      <c r="O13" s="4"/>
      <c r="P13" s="4"/>
      <c r="Q13" s="4"/>
    </row>
    <row r="14" spans="1:17" x14ac:dyDescent="0.25">
      <c r="A14" s="87" t="s">
        <v>33</v>
      </c>
      <c r="B14" s="86" t="s">
        <v>47</v>
      </c>
      <c r="C14" s="56">
        <f t="shared" si="1"/>
        <v>0.17612269707920714</v>
      </c>
      <c r="D14" s="56">
        <f>+'GVA-productivity3'!I44</f>
        <v>1.4358751961511171</v>
      </c>
      <c r="E14" s="34">
        <f>VLOOKUP($A14,'GVA-productivity3'!$A$8:$I$24,8,FALSE)</f>
        <v>2246.279119770013</v>
      </c>
      <c r="F14" s="34">
        <f>VLOOKUP($A14,'GVA-productivity3'!$A$8:$I$24,9,FALSE)</f>
        <v>2352.8829990419586</v>
      </c>
      <c r="G14" s="56">
        <f t="shared" si="0"/>
        <v>4.3137387359911976</v>
      </c>
      <c r="H14" s="56">
        <f t="shared" si="0"/>
        <v>4.4898614330704048</v>
      </c>
      <c r="I14" s="4"/>
      <c r="J14" s="4"/>
      <c r="K14" s="4"/>
      <c r="L14" s="6"/>
      <c r="M14" s="4"/>
      <c r="N14" s="4"/>
      <c r="O14" s="4"/>
      <c r="P14" s="4"/>
      <c r="Q14" s="4"/>
    </row>
    <row r="15" spans="1:17" x14ac:dyDescent="0.25">
      <c r="A15" s="87" t="s">
        <v>34</v>
      </c>
      <c r="B15" s="87" t="s">
        <v>34</v>
      </c>
      <c r="C15" s="56">
        <f t="shared" si="1"/>
        <v>-0.23299454245449347</v>
      </c>
      <c r="D15" s="56">
        <f>+'GVA-productivity3'!I45</f>
        <v>0.29940866048501491</v>
      </c>
      <c r="E15" s="34">
        <f>VLOOKUP($A15,'GVA-productivity3'!$A$8:$I$24,8,FALSE)</f>
        <v>3155.7080043319474</v>
      </c>
      <c r="F15" s="34">
        <f>VLOOKUP($A15,'GVA-productivity3'!$A$8:$I$24,9,FALSE)</f>
        <v>3053.709329898817</v>
      </c>
      <c r="G15" s="56">
        <f t="shared" si="0"/>
        <v>6.0601996154235573</v>
      </c>
      <c r="H15" s="56">
        <f t="shared" si="0"/>
        <v>5.8272050729690639</v>
      </c>
      <c r="I15" s="4"/>
      <c r="J15" s="4"/>
      <c r="K15" s="4"/>
      <c r="L15" s="6"/>
      <c r="M15" s="4"/>
      <c r="N15" s="4"/>
      <c r="O15" s="4"/>
      <c r="P15" s="4"/>
      <c r="Q15" s="4"/>
    </row>
    <row r="16" spans="1:17" x14ac:dyDescent="0.25">
      <c r="A16" s="88" t="s">
        <v>48</v>
      </c>
      <c r="B16" s="88"/>
      <c r="C16" s="57">
        <f t="shared" si="1"/>
        <v>0</v>
      </c>
      <c r="D16" s="58">
        <f>+'GVA-productivity3'!I46</f>
        <v>1</v>
      </c>
      <c r="E16" s="34">
        <f>VLOOKUP($A16,'GVA-productivity3'!$A$8:$I$24,8,FALSE)</f>
        <v>52072.674244928974</v>
      </c>
      <c r="F16" s="34">
        <f>VLOOKUP($A16,'GVA-productivity3'!$A$8:$I$24,9,FALSE)</f>
        <v>52404.356662582635</v>
      </c>
      <c r="G16" s="56">
        <f t="shared" si="0"/>
        <v>100</v>
      </c>
      <c r="H16" s="56">
        <f t="shared" si="0"/>
        <v>100</v>
      </c>
      <c r="I16" s="9"/>
      <c r="J16" s="9"/>
      <c r="K16" s="9"/>
      <c r="L16" s="10"/>
      <c r="M16" s="9"/>
      <c r="N16" s="9"/>
      <c r="O16" s="9"/>
      <c r="P16" s="9"/>
      <c r="Q16" s="9"/>
    </row>
    <row r="17" spans="1:17" x14ac:dyDescent="0.25">
      <c r="A17" s="59" t="s">
        <v>49</v>
      </c>
      <c r="B17" s="59"/>
      <c r="C17" s="61">
        <f t="shared" ref="C17:H17" si="2">SUM(C6:C15)</f>
        <v>-9.3258734068513149E-15</v>
      </c>
      <c r="D17" s="61">
        <f t="shared" si="2"/>
        <v>74.73694228414422</v>
      </c>
      <c r="E17" s="62">
        <f t="shared" si="2"/>
        <v>52072.674244928974</v>
      </c>
      <c r="F17" s="62">
        <f t="shared" si="2"/>
        <v>52404.356662582635</v>
      </c>
      <c r="G17" s="63">
        <f t="shared" si="2"/>
        <v>99.999999999999972</v>
      </c>
      <c r="H17" s="63">
        <f t="shared" si="2"/>
        <v>99.999999999999972</v>
      </c>
      <c r="I17" s="36"/>
      <c r="J17" s="36"/>
      <c r="K17" s="36"/>
      <c r="L17" s="42"/>
      <c r="M17" s="36"/>
      <c r="N17" s="36"/>
      <c r="O17" s="36"/>
      <c r="P17" s="36"/>
      <c r="Q17" s="36"/>
    </row>
    <row r="19" spans="1:17" x14ac:dyDescent="0.25">
      <c r="A19" s="4"/>
      <c r="B19" s="4"/>
      <c r="C19" s="72"/>
      <c r="D19" s="4"/>
      <c r="E19" s="75"/>
      <c r="F19" s="4"/>
      <c r="G19" s="4"/>
      <c r="H19" s="4"/>
      <c r="I19" s="4"/>
      <c r="J19" s="4"/>
      <c r="K19" s="4"/>
      <c r="L19" s="6"/>
      <c r="M19" s="4"/>
      <c r="N19" s="4"/>
      <c r="O19" s="4"/>
      <c r="P19" s="4"/>
      <c r="Q19" s="4"/>
    </row>
  </sheetData>
  <mergeCells count="2">
    <mergeCell ref="E4:F4"/>
    <mergeCell ref="G4:H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H22"/>
  <sheetViews>
    <sheetView showGridLines="0" workbookViewId="0">
      <selection activeCell="H4" sqref="H4"/>
    </sheetView>
  </sheetViews>
  <sheetFormatPr defaultRowHeight="12" x14ac:dyDescent="0.25"/>
  <cols>
    <col min="1" max="1" width="15.28515625" customWidth="1"/>
    <col min="2" max="2" width="22" customWidth="1"/>
    <col min="3" max="8" width="12.85546875" customWidth="1"/>
    <col min="9" max="9" width="3.42578125" customWidth="1"/>
  </cols>
  <sheetData>
    <row r="1" spans="1:8" ht="14.4" x14ac:dyDescent="0.3">
      <c r="A1" s="115" t="s">
        <v>50</v>
      </c>
      <c r="C1" s="98"/>
      <c r="D1" s="99"/>
      <c r="E1" s="99"/>
      <c r="F1" s="99"/>
      <c r="G1" s="99"/>
      <c r="H1" s="99"/>
    </row>
    <row r="2" spans="1:8" ht="11.25" customHeight="1" x14ac:dyDescent="0.3">
      <c r="A2" s="304" t="s">
        <v>269</v>
      </c>
      <c r="B2" s="97"/>
      <c r="C2" s="98"/>
      <c r="D2" s="99"/>
      <c r="E2" s="99"/>
      <c r="F2" s="99"/>
      <c r="G2" s="99"/>
      <c r="H2" s="99"/>
    </row>
    <row r="3" spans="1:8" ht="24" x14ac:dyDescent="0.3">
      <c r="B3" s="97"/>
      <c r="C3" s="98"/>
      <c r="D3" s="99"/>
      <c r="E3" s="99"/>
      <c r="F3" s="112"/>
      <c r="G3" s="102" t="s">
        <v>54</v>
      </c>
      <c r="H3" s="102" t="s">
        <v>55</v>
      </c>
    </row>
    <row r="4" spans="1:8" ht="11.25" customHeight="1" x14ac:dyDescent="0.3">
      <c r="B4" s="97"/>
      <c r="C4" s="98"/>
      <c r="D4" s="99"/>
      <c r="E4" s="99"/>
      <c r="F4" s="101" t="s">
        <v>241</v>
      </c>
      <c r="G4" s="71">
        <f>+G21</f>
        <v>1.0874303919365386E-2</v>
      </c>
      <c r="H4" s="276">
        <f>+C10-G4</f>
        <v>3.3378786110833565E-2</v>
      </c>
    </row>
    <row r="5" spans="1:8" ht="11.25" customHeight="1" x14ac:dyDescent="0.3">
      <c r="B5" s="97"/>
      <c r="C5" s="98"/>
      <c r="D5" s="99"/>
      <c r="E5" s="99"/>
      <c r="F5" s="259"/>
      <c r="G5" s="258"/>
      <c r="H5" s="258"/>
    </row>
    <row r="6" spans="1:8" ht="11.25" customHeight="1" x14ac:dyDescent="0.3">
      <c r="B6" s="97"/>
      <c r="C6" s="98"/>
      <c r="D6" s="99"/>
      <c r="E6" s="99"/>
      <c r="F6" s="259"/>
      <c r="G6" s="258"/>
      <c r="H6" s="258"/>
    </row>
    <row r="7" spans="1:8" s="135" customFormat="1" ht="11.25" customHeight="1" x14ac:dyDescent="0.3">
      <c r="B7" s="130"/>
      <c r="C7" s="131"/>
      <c r="D7" s="132"/>
      <c r="E7" s="132"/>
      <c r="F7" s="256"/>
      <c r="G7" s="257"/>
      <c r="H7" s="277"/>
    </row>
    <row r="8" spans="1:8" ht="49.8" customHeight="1" x14ac:dyDescent="0.25">
      <c r="A8" s="262"/>
      <c r="B8" s="260" t="s">
        <v>243</v>
      </c>
      <c r="C8" s="136" t="s">
        <v>51</v>
      </c>
      <c r="D8" s="136" t="s">
        <v>52</v>
      </c>
      <c r="E8" s="136" t="s">
        <v>52</v>
      </c>
      <c r="F8" s="136" t="s">
        <v>53</v>
      </c>
      <c r="G8" s="137" t="s">
        <v>54</v>
      </c>
      <c r="H8" s="278"/>
    </row>
    <row r="9" spans="1:8" ht="12.6" customHeight="1" x14ac:dyDescent="0.25">
      <c r="A9" s="262"/>
      <c r="B9" s="100"/>
      <c r="C9" s="138" t="s">
        <v>241</v>
      </c>
      <c r="D9" s="138">
        <v>2010</v>
      </c>
      <c r="E9" s="138">
        <v>2011</v>
      </c>
      <c r="F9" s="138" t="s">
        <v>241</v>
      </c>
      <c r="G9" s="102" t="s">
        <v>238</v>
      </c>
      <c r="H9" s="279"/>
    </row>
    <row r="10" spans="1:8" x14ac:dyDescent="0.25">
      <c r="A10" s="103" t="s">
        <v>37</v>
      </c>
      <c r="B10" s="103" t="s">
        <v>37</v>
      </c>
      <c r="C10" s="66">
        <f>VLOOKUP($A10,'GVA-productivity3'!$A$51:$F$67,6,FALSE)</f>
        <v>4.4253090030198949E-2</v>
      </c>
      <c r="D10" s="66">
        <f>VLOOKUP($A10,'GVA-productivity3'!$A$30:$G$46,4,FALSE)/100</f>
        <v>1</v>
      </c>
      <c r="E10" s="66">
        <f>VLOOKUP($A10,'GVA-productivity3'!$A$30:$G$46,5,FALSE)/100</f>
        <v>1</v>
      </c>
      <c r="F10" s="104"/>
      <c r="G10" s="105"/>
      <c r="H10" s="280"/>
    </row>
    <row r="11" spans="1:8" x14ac:dyDescent="0.25">
      <c r="A11" s="86" t="s">
        <v>14</v>
      </c>
      <c r="B11" s="106" t="s">
        <v>14</v>
      </c>
      <c r="C11" s="66">
        <f>VLOOKUP($A11,'GVA-productivity3'!$A$51:$F$67,6,FALSE)</f>
        <v>9.3722066155244033E-3</v>
      </c>
      <c r="D11" s="66">
        <f>VLOOKUP($A11,'GVA-productivity3'!$A$30:$G$46,4,FALSE)/100</f>
        <v>0.23962472612344612</v>
      </c>
      <c r="E11" s="66">
        <f>VLOOKUP($A11,'GVA-productivity3'!$A$30:$G$46,5,FALSE)/100</f>
        <v>0.22798376403175541</v>
      </c>
      <c r="F11" s="67">
        <f>+E11-D11</f>
        <v>-1.1640962091690715E-2</v>
      </c>
      <c r="G11" s="68">
        <f t="shared" ref="G11:G20" si="0">+C11*D11</f>
        <v>2.2458124434173851E-3</v>
      </c>
      <c r="H11" s="281"/>
    </row>
    <row r="12" spans="1:8" x14ac:dyDescent="0.25">
      <c r="A12" s="239" t="s">
        <v>19</v>
      </c>
      <c r="B12" s="107" t="s">
        <v>19</v>
      </c>
      <c r="C12" s="66">
        <f>VLOOKUP($A12,'GVA-productivity3'!$A$51:$F$67,6,FALSE)</f>
        <v>-0.1216864048205718</v>
      </c>
      <c r="D12" s="66">
        <f>VLOOKUP($A12,'GVA-productivity3'!$A$30:$G$46,4,FALSE)/100</f>
        <v>0.15597428563586674</v>
      </c>
      <c r="E12" s="66">
        <f>VLOOKUP($A12,'GVA-productivity3'!$A$30:$G$46,5,FALSE)/100</f>
        <v>0.1761090474106114</v>
      </c>
      <c r="F12" s="67">
        <f t="shared" ref="F12:F20" si="1">+E12-D12</f>
        <v>2.0134761774744658E-2</v>
      </c>
      <c r="G12" s="68">
        <f t="shared" si="0"/>
        <v>-1.8979950063485577E-2</v>
      </c>
      <c r="H12" s="281"/>
    </row>
    <row r="13" spans="1:8" x14ac:dyDescent="0.25">
      <c r="A13" s="86" t="s">
        <v>20</v>
      </c>
      <c r="B13" s="107" t="s">
        <v>20</v>
      </c>
      <c r="C13" s="66">
        <f>VLOOKUP($A13,'GVA-productivity3'!$A$51:$F$67,6,FALSE)</f>
        <v>2.7102249526371525E-2</v>
      </c>
      <c r="D13" s="66">
        <f>VLOOKUP($A13,'GVA-productivity3'!$A$30:$G$46,4,FALSE)/100</f>
        <v>6.6020759063051437E-2</v>
      </c>
      <c r="E13" s="66">
        <f>VLOOKUP($A13,'GVA-productivity3'!$A$30:$G$46,5,FALSE)/100</f>
        <v>6.4582437733136169E-2</v>
      </c>
      <c r="F13" s="67">
        <f t="shared" si="1"/>
        <v>-1.4383213299152681E-3</v>
      </c>
      <c r="G13" s="68">
        <f t="shared" si="0"/>
        <v>1.7893110860472744E-3</v>
      </c>
      <c r="H13" s="281"/>
    </row>
    <row r="14" spans="1:8" x14ac:dyDescent="0.25">
      <c r="A14" s="86" t="s">
        <v>21</v>
      </c>
      <c r="B14" s="107" t="s">
        <v>21</v>
      </c>
      <c r="C14" s="66">
        <f>VLOOKUP($A14,'GVA-productivity3'!$A$51:$F$67,6,FALSE)</f>
        <v>7.7977507887486919E-2</v>
      </c>
      <c r="D14" s="66">
        <f>VLOOKUP($A14,'GVA-productivity3'!$A$30:$G$46,4,FALSE)/100</f>
        <v>7.16301092914711E-3</v>
      </c>
      <c r="E14" s="66">
        <f>VLOOKUP($A14,'GVA-productivity3'!$A$30:$G$46,5,FALSE)/100</f>
        <v>9.0095822403772948E-3</v>
      </c>
      <c r="F14" s="67">
        <f t="shared" si="1"/>
        <v>1.8465713112301848E-3</v>
      </c>
      <c r="G14" s="68">
        <f t="shared" si="0"/>
        <v>5.5855374122572375E-4</v>
      </c>
      <c r="H14" s="281"/>
    </row>
    <row r="15" spans="1:8" x14ac:dyDescent="0.25">
      <c r="A15" s="86" t="s">
        <v>22</v>
      </c>
      <c r="B15" s="107" t="s">
        <v>22</v>
      </c>
      <c r="C15" s="66">
        <f>VLOOKUP($A15,'GVA-productivity3'!$A$51:$F$67,6,FALSE)</f>
        <v>-2.2371252272837538E-2</v>
      </c>
      <c r="D15" s="66">
        <f>VLOOKUP($A15,'GVA-productivity3'!$A$30:$G$46,4,FALSE)/100</f>
        <v>2.8982186279691572E-2</v>
      </c>
      <c r="E15" s="66">
        <f>VLOOKUP($A15,'GVA-productivity3'!$A$30:$G$46,5,FALSE)/100</f>
        <v>2.8767681609040297E-2</v>
      </c>
      <c r="F15" s="67">
        <f t="shared" si="1"/>
        <v>-2.1450467065127488E-4</v>
      </c>
      <c r="G15" s="68">
        <f t="shared" si="0"/>
        <v>-6.4836780068135104E-4</v>
      </c>
      <c r="H15" s="281"/>
    </row>
    <row r="16" spans="1:8" x14ac:dyDescent="0.25">
      <c r="A16" s="87" t="s">
        <v>25</v>
      </c>
      <c r="B16" s="107" t="s">
        <v>25</v>
      </c>
      <c r="C16" s="66">
        <f>VLOOKUP($A16,'GVA-productivity3'!$A$51:$F$67,6,FALSE)</f>
        <v>0.11185263574742144</v>
      </c>
      <c r="D16" s="66">
        <f>VLOOKUP($A16,'GVA-productivity3'!$A$30:$G$46,4,FALSE)/100</f>
        <v>0.16891573275670169</v>
      </c>
      <c r="E16" s="66">
        <f>VLOOKUP($A16,'GVA-productivity3'!$A$30:$G$46,5,FALSE)/100</f>
        <v>0.16769274517410632</v>
      </c>
      <c r="F16" s="67">
        <f t="shared" si="1"/>
        <v>-1.2229875825953695E-3</v>
      </c>
      <c r="G16" s="68">
        <f t="shared" si="0"/>
        <v>1.8893669928044136E-2</v>
      </c>
      <c r="H16" s="281"/>
    </row>
    <row r="17" spans="1:8" x14ac:dyDescent="0.25">
      <c r="A17" s="87" t="s">
        <v>26</v>
      </c>
      <c r="B17" s="107" t="s">
        <v>26</v>
      </c>
      <c r="C17" s="66">
        <f>VLOOKUP($A17,'GVA-productivity3'!$A$51:$F$67,6,FALSE)</f>
        <v>0.14148588594667433</v>
      </c>
      <c r="D17" s="66">
        <f>VLOOKUP($A17,'GVA-productivity3'!$A$30:$G$46,4,FALSE)/100</f>
        <v>0.12278833750426756</v>
      </c>
      <c r="E17" s="66">
        <f>VLOOKUP($A17,'GVA-productivity3'!$A$30:$G$46,5,FALSE)/100</f>
        <v>0.11870300641456027</v>
      </c>
      <c r="F17" s="67">
        <f t="shared" si="1"/>
        <v>-4.0853310897072809E-3</v>
      </c>
      <c r="G17" s="68">
        <f t="shared" si="0"/>
        <v>1.7372816715710553E-2</v>
      </c>
      <c r="H17" s="281"/>
    </row>
    <row r="18" spans="1:8" x14ac:dyDescent="0.25">
      <c r="A18" s="159" t="s">
        <v>63</v>
      </c>
      <c r="B18" s="107" t="s">
        <v>46</v>
      </c>
      <c r="C18" s="66">
        <f>VLOOKUP($A18,'GVA-productivity3'!$A$51:$F$67,6,FALSE)</f>
        <v>-0.10969482998942726</v>
      </c>
      <c r="D18" s="66">
        <f>VLOOKUP($A18,'GVA-productivity3'!$A$30:$G$46,4,FALSE)/100</f>
        <v>0.130904281469442</v>
      </c>
      <c r="E18" s="66">
        <f>VLOOKUP($A18,'GVA-productivity3'!$A$30:$G$46,5,FALSE)/100</f>
        <v>0.12931012754344193</v>
      </c>
      <c r="F18" s="67">
        <f t="shared" si="1"/>
        <v>-1.5941539260000692E-3</v>
      </c>
      <c r="G18" s="68">
        <f t="shared" si="0"/>
        <v>-1.4359522900678573E-2</v>
      </c>
      <c r="H18" s="281"/>
    </row>
    <row r="19" spans="1:8" x14ac:dyDescent="0.25">
      <c r="A19" s="87" t="s">
        <v>33</v>
      </c>
      <c r="B19" s="107" t="s">
        <v>33</v>
      </c>
      <c r="C19" s="66">
        <f>VLOOKUP($A19,'GVA-productivity3'!$A$51:$F$67,6,FALSE)</f>
        <v>3.5692776639131729E-2</v>
      </c>
      <c r="D19" s="66">
        <f>VLOOKUP($A19,'GVA-productivity3'!$A$30:$G$46,4,FALSE)/100</f>
        <v>6.2451856542520653E-2</v>
      </c>
      <c r="E19" s="66">
        <f>VLOOKUP($A19,'GVA-productivity3'!$A$30:$G$46,5,FALSE)/100</f>
        <v>6.1063482304737897E-2</v>
      </c>
      <c r="F19" s="67">
        <f t="shared" si="1"/>
        <v>-1.3883742377827565E-3</v>
      </c>
      <c r="G19" s="68">
        <f t="shared" si="0"/>
        <v>2.2290801662712871E-3</v>
      </c>
      <c r="H19" s="281"/>
    </row>
    <row r="20" spans="1:8" x14ac:dyDescent="0.25">
      <c r="A20" s="164" t="s">
        <v>35</v>
      </c>
      <c r="B20" s="108" t="s">
        <v>34</v>
      </c>
      <c r="C20" s="66">
        <f>VLOOKUP($A20,'GVA-productivity3'!$A$51:$F$67,6,FALSE)</f>
        <v>0.10322671340849521</v>
      </c>
      <c r="D20" s="66">
        <f>VLOOKUP($A20,'GVA-productivity3'!$A$30:$G$46,4,FALSE)/100</f>
        <v>1.7174823695865375E-2</v>
      </c>
      <c r="E20" s="66">
        <f>VLOOKUP($A20,'GVA-productivity3'!$A$30:$G$46,5,FALSE)/100</f>
        <v>1.6778125538232828E-2</v>
      </c>
      <c r="F20" s="67">
        <f t="shared" si="1"/>
        <v>-3.9669815763254679E-4</v>
      </c>
      <c r="G20" s="68">
        <f t="shared" si="0"/>
        <v>1.7729006034945276E-3</v>
      </c>
      <c r="H20" s="281"/>
    </row>
    <row r="21" spans="1:8" x14ac:dyDescent="0.25">
      <c r="A21" s="109" t="s">
        <v>77</v>
      </c>
      <c r="B21" s="234"/>
      <c r="C21" s="126">
        <f>SUM(C11:C20)</f>
        <v>0.25295748868826895</v>
      </c>
      <c r="D21" s="126">
        <f>SUM(D11:D20)</f>
        <v>1.0000000000000002</v>
      </c>
      <c r="E21" s="126">
        <f>SUM(E11:E20)</f>
        <v>0.99999999999999978</v>
      </c>
      <c r="F21" s="70"/>
      <c r="G21" s="71">
        <f>SUM(G11:G20)</f>
        <v>1.0874303919365386E-2</v>
      </c>
      <c r="H21" s="282"/>
    </row>
    <row r="22" spans="1:8" x14ac:dyDescent="0.25">
      <c r="B22" s="110"/>
      <c r="C22" s="111"/>
      <c r="D22" s="111"/>
      <c r="E22" s="111"/>
      <c r="F22" s="110"/>
      <c r="G22" s="110"/>
      <c r="H22" s="110"/>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Q31"/>
  <sheetViews>
    <sheetView showGridLines="0" workbookViewId="0">
      <selection activeCell="C1" sqref="C1"/>
    </sheetView>
  </sheetViews>
  <sheetFormatPr defaultRowHeight="12" x14ac:dyDescent="0.25"/>
  <cols>
    <col min="2" max="2" width="29.5703125" customWidth="1"/>
    <col min="3" max="6" width="14.140625" customWidth="1"/>
  </cols>
  <sheetData>
    <row r="1" spans="1:17" ht="14.4" x14ac:dyDescent="0.25">
      <c r="A1" s="149" t="s">
        <v>244</v>
      </c>
    </row>
    <row r="2" spans="1:17" x14ac:dyDescent="0.25">
      <c r="A2" s="304" t="s">
        <v>269</v>
      </c>
    </row>
    <row r="3" spans="1:17" x14ac:dyDescent="0.25">
      <c r="A3" s="360"/>
      <c r="C3" s="360"/>
      <c r="D3" s="360"/>
      <c r="E3" s="360"/>
      <c r="F3" s="341"/>
    </row>
    <row r="4" spans="1:17" x14ac:dyDescent="0.25">
      <c r="A4" s="361"/>
      <c r="B4" s="99"/>
      <c r="C4" s="361"/>
      <c r="D4" s="362" t="s">
        <v>265</v>
      </c>
      <c r="E4" s="361"/>
      <c r="F4" s="342"/>
    </row>
    <row r="5" spans="1:17" ht="48" x14ac:dyDescent="0.25">
      <c r="A5" s="151" t="s">
        <v>83</v>
      </c>
      <c r="B5" s="152" t="s">
        <v>2</v>
      </c>
      <c r="C5" s="153" t="s">
        <v>245</v>
      </c>
      <c r="D5" s="153" t="s">
        <v>246</v>
      </c>
      <c r="E5" s="153" t="s">
        <v>84</v>
      </c>
      <c r="F5" s="153" t="s">
        <v>246</v>
      </c>
      <c r="H5" s="262"/>
      <c r="I5" s="151" t="s">
        <v>60</v>
      </c>
      <c r="J5" s="151" t="s">
        <v>14</v>
      </c>
      <c r="K5" s="151" t="s">
        <v>33</v>
      </c>
      <c r="L5" s="151" t="s">
        <v>20</v>
      </c>
      <c r="M5" s="151" t="s">
        <v>27</v>
      </c>
      <c r="N5" s="151" t="s">
        <v>61</v>
      </c>
      <c r="O5" s="151" t="s">
        <v>63</v>
      </c>
      <c r="P5" s="151" t="s">
        <v>19</v>
      </c>
      <c r="Q5" s="151" t="s">
        <v>247</v>
      </c>
    </row>
    <row r="6" spans="1:17" x14ac:dyDescent="0.25">
      <c r="A6" s="150">
        <v>8</v>
      </c>
      <c r="B6" s="139" t="s">
        <v>60</v>
      </c>
      <c r="C6" s="147">
        <f>VLOOKUP("other services",'GVA-productivity3'!$A$30:$G$46,7,FALSE)/100</f>
        <v>5.827205072969064E-2</v>
      </c>
      <c r="D6" s="145">
        <f>VLOOKUP("other services",'GVA-productivity3'!$A$30:$I$46,9,FALSE)</f>
        <v>0.29940866048501491</v>
      </c>
      <c r="E6" s="221">
        <f>+C6</f>
        <v>5.827205072969064E-2</v>
      </c>
      <c r="F6" s="145">
        <f>+D6</f>
        <v>0.29940866048501491</v>
      </c>
      <c r="H6" s="234">
        <v>0</v>
      </c>
      <c r="I6" s="234">
        <v>0</v>
      </c>
      <c r="J6" s="234"/>
      <c r="K6" s="234"/>
      <c r="L6" s="234"/>
      <c r="M6" s="234"/>
      <c r="N6" s="234"/>
      <c r="O6" s="234"/>
      <c r="P6" s="234"/>
      <c r="Q6" s="234">
        <v>0</v>
      </c>
    </row>
    <row r="7" spans="1:17" x14ac:dyDescent="0.25">
      <c r="A7" s="150">
        <v>1</v>
      </c>
      <c r="B7" s="139" t="s">
        <v>14</v>
      </c>
      <c r="C7" s="147">
        <f>VLOOKUP(B7,'GVA-productivity3'!$A$30:$G$46,7,FALSE)/100</f>
        <v>0.61778431266038869</v>
      </c>
      <c r="D7" s="145">
        <f>VLOOKUP(B7,'GVA-productivity3'!$A$30:$I$46,9,FALSE)</f>
        <v>0.38183551092318491</v>
      </c>
      <c r="E7" s="221">
        <f t="shared" ref="E7:E13" si="0">+C7+E6</f>
        <v>0.67605636339007935</v>
      </c>
      <c r="F7" s="145">
        <f t="shared" ref="F7:F13" si="1">+D7</f>
        <v>0.38183551092318491</v>
      </c>
      <c r="H7" s="234">
        <v>0</v>
      </c>
      <c r="I7" s="234">
        <f>+$F$6</f>
        <v>0.29940866048501491</v>
      </c>
      <c r="J7" s="234"/>
      <c r="K7" s="234"/>
      <c r="L7" s="234"/>
      <c r="M7" s="234"/>
      <c r="N7" s="234"/>
      <c r="O7" s="234"/>
      <c r="P7" s="234"/>
      <c r="Q7" s="234">
        <v>0</v>
      </c>
    </row>
    <row r="8" spans="1:17" x14ac:dyDescent="0.25">
      <c r="A8" s="150">
        <v>7</v>
      </c>
      <c r="B8" s="139" t="s">
        <v>33</v>
      </c>
      <c r="C8" s="147">
        <f>VLOOKUP(B8,'GVA-productivity3'!$A$30:$G$46,7,FALSE)/100</f>
        <v>4.4898614330704051E-2</v>
      </c>
      <c r="D8" s="145">
        <f>VLOOKUP(B8,'GVA-productivity3'!$A$30:$I$46,9,FALSE)</f>
        <v>1.4358751961511171</v>
      </c>
      <c r="E8" s="221">
        <f t="shared" si="0"/>
        <v>0.72095497772078343</v>
      </c>
      <c r="F8" s="145">
        <f t="shared" si="1"/>
        <v>1.4358751961511171</v>
      </c>
      <c r="H8" s="234">
        <f>AVERAGE(H7,H9)</f>
        <v>2.9136025364845319</v>
      </c>
      <c r="I8" s="234">
        <f>+$F$6</f>
        <v>0.29940866048501491</v>
      </c>
      <c r="J8" s="234"/>
      <c r="K8" s="234"/>
      <c r="L8" s="234"/>
      <c r="M8" s="234"/>
      <c r="N8" s="234"/>
      <c r="O8" s="234"/>
      <c r="P8" s="234"/>
      <c r="Q8" s="234">
        <v>0</v>
      </c>
    </row>
    <row r="9" spans="1:17" x14ac:dyDescent="0.25">
      <c r="A9" s="150">
        <v>3</v>
      </c>
      <c r="B9" s="139" t="s">
        <v>20</v>
      </c>
      <c r="C9" s="147">
        <f>VLOOKUP(B9,'GVA-productivity3'!$A$30:$G$46,7,FALSE)/100</f>
        <v>4.4741911628701898E-2</v>
      </c>
      <c r="D9" s="145">
        <f>VLOOKUP(B9,'GVA-productivity3'!$A$30:$I$46,9,FALSE)</f>
        <v>1.5532566535751766</v>
      </c>
      <c r="E9" s="221">
        <f t="shared" si="0"/>
        <v>0.76569688934948532</v>
      </c>
      <c r="F9" s="145">
        <f t="shared" si="1"/>
        <v>1.5532566535751766</v>
      </c>
      <c r="H9" s="234">
        <f>+$E$6*100</f>
        <v>5.8272050729690639</v>
      </c>
      <c r="I9" s="234">
        <f>+$F$6</f>
        <v>0.29940866048501491</v>
      </c>
      <c r="J9" s="234">
        <v>0</v>
      </c>
      <c r="K9" s="234"/>
      <c r="L9" s="234"/>
      <c r="M9" s="234"/>
      <c r="N9" s="234"/>
      <c r="O9" s="234"/>
      <c r="P9" s="234"/>
      <c r="Q9" s="234">
        <v>0</v>
      </c>
    </row>
    <row r="10" spans="1:17" x14ac:dyDescent="0.25">
      <c r="A10" s="150">
        <v>5</v>
      </c>
      <c r="B10" s="140" t="s">
        <v>27</v>
      </c>
      <c r="C10" s="147">
        <f>VLOOKUP(B10,'GVA-productivity3'!$A$30:$G$46,7,FALSE)/100</f>
        <v>0.17726240833386689</v>
      </c>
      <c r="D10" s="145">
        <f>VLOOKUP(B10,'GVA-productivity3'!$A$30:$I$46,9,FALSE)</f>
        <v>1.6059942604561115</v>
      </c>
      <c r="E10" s="221">
        <f t="shared" si="0"/>
        <v>0.94295929768335218</v>
      </c>
      <c r="F10" s="145">
        <f t="shared" si="1"/>
        <v>1.6059942604561115</v>
      </c>
      <c r="H10" s="234">
        <f>+$E$6*100</f>
        <v>5.8272050729690639</v>
      </c>
      <c r="I10" s="234">
        <v>0</v>
      </c>
      <c r="J10" s="234">
        <f>+$F$7</f>
        <v>0.38183551092318491</v>
      </c>
      <c r="K10" s="234"/>
      <c r="L10" s="234"/>
      <c r="M10" s="234"/>
      <c r="N10" s="234"/>
      <c r="O10" s="234"/>
      <c r="P10" s="234"/>
      <c r="Q10" s="234">
        <v>0</v>
      </c>
    </row>
    <row r="11" spans="1:17" x14ac:dyDescent="0.25">
      <c r="A11" s="150">
        <v>4</v>
      </c>
      <c r="B11" s="140" t="s">
        <v>61</v>
      </c>
      <c r="C11" s="147">
        <f>VLOOKUP(B11,'GVA-productivity3'!$A$30:$G$46,7,FALSE)/100</f>
        <v>2.1222121055982566E-2</v>
      </c>
      <c r="D11" s="145">
        <f>VLOOKUP(B11,'GVA-productivity3'!$A$30:$I$46,9,FALSE)</f>
        <v>1.8964957783784195</v>
      </c>
      <c r="E11" s="221">
        <f t="shared" si="0"/>
        <v>0.96418141873933472</v>
      </c>
      <c r="F11" s="145">
        <f t="shared" si="1"/>
        <v>1.8964957783784195</v>
      </c>
      <c r="H11" s="234">
        <f>AVERAGE(H10,H12)</f>
        <v>36.716420705988497</v>
      </c>
      <c r="I11" s="234"/>
      <c r="J11" s="234">
        <f>+$F$7</f>
        <v>0.38183551092318491</v>
      </c>
      <c r="K11" s="234"/>
      <c r="L11" s="234"/>
      <c r="M11" s="234"/>
      <c r="N11" s="234"/>
      <c r="O11" s="234"/>
      <c r="P11" s="234"/>
      <c r="Q11" s="234">
        <v>0</v>
      </c>
    </row>
    <row r="12" spans="1:17" x14ac:dyDescent="0.25">
      <c r="A12" s="150">
        <v>6</v>
      </c>
      <c r="B12" s="139" t="s">
        <v>63</v>
      </c>
      <c r="C12" s="147">
        <f>VLOOKUP(B12,'GVA-productivity3'!$A$30:$G$46,7,FALSE)/100</f>
        <v>3.3102823057843039E-2</v>
      </c>
      <c r="D12" s="145">
        <f>VLOOKUP(B12,'GVA-productivity3'!$A$30:$I$46,9,FALSE)</f>
        <v>4.0522161126292779</v>
      </c>
      <c r="E12" s="221">
        <f t="shared" si="0"/>
        <v>0.99728424179717778</v>
      </c>
      <c r="F12" s="145">
        <f t="shared" si="1"/>
        <v>4.0522161126292779</v>
      </c>
      <c r="H12" s="234">
        <f>+$E$7*100</f>
        <v>67.60563633900793</v>
      </c>
      <c r="I12" s="234"/>
      <c r="J12" s="234">
        <f>+$F$7</f>
        <v>0.38183551092318491</v>
      </c>
      <c r="K12" s="234">
        <v>0</v>
      </c>
      <c r="L12" s="234"/>
      <c r="M12" s="234"/>
      <c r="N12" s="234"/>
      <c r="O12" s="234"/>
      <c r="P12" s="234"/>
      <c r="Q12" s="234">
        <v>0</v>
      </c>
    </row>
    <row r="13" spans="1:17" s="242" customFormat="1" x14ac:dyDescent="0.25">
      <c r="A13" s="249">
        <v>2</v>
      </c>
      <c r="B13" s="250" t="s">
        <v>19</v>
      </c>
      <c r="C13" s="253">
        <f>VLOOKUP(B13,'GVA-productivity3'!$A$30:$G$46,7,FALSE)/100</f>
        <v>2.7157582028221731E-3</v>
      </c>
      <c r="D13" s="252">
        <f>VLOOKUP(B13,'GVA-productivity3'!$A$30:$I$46,9,FALSE)</f>
        <v>56.568552235046312</v>
      </c>
      <c r="E13" s="253">
        <f t="shared" si="0"/>
        <v>1</v>
      </c>
      <c r="F13" s="252">
        <f t="shared" si="1"/>
        <v>56.568552235046312</v>
      </c>
      <c r="G13" s="242" t="s">
        <v>111</v>
      </c>
      <c r="H13" s="264">
        <f>+$E$7*100</f>
        <v>67.60563633900793</v>
      </c>
      <c r="I13" s="264"/>
      <c r="J13" s="264">
        <v>0</v>
      </c>
      <c r="K13" s="264">
        <f>+$F$8</f>
        <v>1.4358751961511171</v>
      </c>
      <c r="L13" s="264"/>
      <c r="M13" s="264"/>
      <c r="N13" s="264"/>
      <c r="O13" s="264"/>
      <c r="P13" s="264"/>
      <c r="Q13" s="264">
        <v>0</v>
      </c>
    </row>
    <row r="14" spans="1:17" x14ac:dyDescent="0.25">
      <c r="B14" s="154" t="s">
        <v>57</v>
      </c>
      <c r="C14" s="146">
        <f>SUM(C6:C13)</f>
        <v>1</v>
      </c>
      <c r="D14" s="263">
        <f>SUM(D6:D13)</f>
        <v>67.793634407644618</v>
      </c>
      <c r="E14" s="148"/>
      <c r="F14" s="148"/>
      <c r="H14" s="234">
        <f>AVERAGE(H13,H15)</f>
        <v>69.850567055543138</v>
      </c>
      <c r="I14" s="234"/>
      <c r="J14" s="234"/>
      <c r="K14" s="234">
        <f>+$F$8</f>
        <v>1.4358751961511171</v>
      </c>
      <c r="L14" s="234"/>
      <c r="M14" s="234"/>
      <c r="N14" s="234"/>
      <c r="O14" s="234"/>
      <c r="P14" s="234"/>
      <c r="Q14" s="234">
        <v>0</v>
      </c>
    </row>
    <row r="15" spans="1:17" x14ac:dyDescent="0.25">
      <c r="H15" s="234">
        <f>+$E$8*100</f>
        <v>72.095497772078346</v>
      </c>
      <c r="I15" s="234"/>
      <c r="J15" s="234"/>
      <c r="K15" s="234">
        <f>+$F$8</f>
        <v>1.4358751961511171</v>
      </c>
      <c r="L15" s="234">
        <v>0</v>
      </c>
      <c r="M15" s="234"/>
      <c r="N15" s="234"/>
      <c r="O15" s="234"/>
      <c r="P15" s="234"/>
      <c r="Q15" s="234">
        <v>0</v>
      </c>
    </row>
    <row r="16" spans="1:17" x14ac:dyDescent="0.25">
      <c r="A16" s="155"/>
      <c r="B16" s="156"/>
      <c r="H16" s="234">
        <f>+$E$8*100</f>
        <v>72.095497772078346</v>
      </c>
      <c r="I16" s="234"/>
      <c r="J16" s="234"/>
      <c r="K16" s="234">
        <v>0</v>
      </c>
      <c r="L16" s="234">
        <f>+$F$9</f>
        <v>1.5532566535751766</v>
      </c>
      <c r="M16" s="234"/>
      <c r="N16" s="234"/>
      <c r="O16" s="234"/>
      <c r="P16" s="234"/>
      <c r="Q16" s="234">
        <v>0</v>
      </c>
    </row>
    <row r="17" spans="8:17" x14ac:dyDescent="0.25">
      <c r="H17" s="234">
        <f>AVERAGE(H16,H18)</f>
        <v>74.332593353513431</v>
      </c>
      <c r="I17" s="234"/>
      <c r="J17" s="234"/>
      <c r="K17" s="234"/>
      <c r="L17" s="234">
        <f>+$F$9</f>
        <v>1.5532566535751766</v>
      </c>
      <c r="M17" s="234"/>
      <c r="N17" s="234"/>
      <c r="O17" s="234"/>
      <c r="P17" s="234"/>
      <c r="Q17" s="234">
        <v>0</v>
      </c>
    </row>
    <row r="18" spans="8:17" x14ac:dyDescent="0.25">
      <c r="H18" s="234">
        <f>+$E$9*100</f>
        <v>76.56968893494853</v>
      </c>
      <c r="I18" s="234"/>
      <c r="J18" s="234"/>
      <c r="K18" s="234"/>
      <c r="L18" s="234">
        <f>+$F$9</f>
        <v>1.5532566535751766</v>
      </c>
      <c r="M18" s="234">
        <v>0</v>
      </c>
      <c r="N18" s="234"/>
      <c r="O18" s="234"/>
      <c r="P18" s="234"/>
      <c r="Q18" s="234">
        <v>0</v>
      </c>
    </row>
    <row r="19" spans="8:17" x14ac:dyDescent="0.25">
      <c r="H19" s="234">
        <f>+$E$9*100</f>
        <v>76.56968893494853</v>
      </c>
      <c r="I19" s="234"/>
      <c r="J19" s="234"/>
      <c r="K19" s="234"/>
      <c r="L19" s="234">
        <v>0</v>
      </c>
      <c r="M19" s="234">
        <f>+$F$10</f>
        <v>1.6059942604561115</v>
      </c>
      <c r="N19" s="234"/>
      <c r="O19" s="234"/>
      <c r="P19" s="234"/>
      <c r="Q19" s="234">
        <v>0</v>
      </c>
    </row>
    <row r="20" spans="8:17" x14ac:dyDescent="0.25">
      <c r="H20" s="234">
        <f>AVERAGE(H19,H21)</f>
        <v>85.432809351641879</v>
      </c>
      <c r="I20" s="234"/>
      <c r="J20" s="234"/>
      <c r="K20" s="234"/>
      <c r="L20" s="234"/>
      <c r="M20" s="234">
        <f>+$F$10</f>
        <v>1.6059942604561115</v>
      </c>
      <c r="N20" s="234"/>
      <c r="O20" s="234"/>
      <c r="P20" s="234"/>
      <c r="Q20" s="234">
        <v>0</v>
      </c>
    </row>
    <row r="21" spans="8:17" x14ac:dyDescent="0.25">
      <c r="H21" s="234">
        <f>+$E$10*100</f>
        <v>94.295929768335213</v>
      </c>
      <c r="I21" s="234"/>
      <c r="J21" s="234"/>
      <c r="K21" s="234"/>
      <c r="L21" s="234"/>
      <c r="M21" s="234">
        <f>+$F$10</f>
        <v>1.6059942604561115</v>
      </c>
      <c r="N21" s="234">
        <v>0</v>
      </c>
      <c r="O21" s="234"/>
      <c r="P21" s="234"/>
      <c r="Q21" s="234">
        <v>0</v>
      </c>
    </row>
    <row r="22" spans="8:17" x14ac:dyDescent="0.25">
      <c r="H22" s="234">
        <f>+$E$10*100</f>
        <v>94.295929768335213</v>
      </c>
      <c r="I22" s="234"/>
      <c r="J22" s="234"/>
      <c r="K22" s="234"/>
      <c r="L22" s="234"/>
      <c r="M22" s="234">
        <v>0</v>
      </c>
      <c r="N22" s="234">
        <f>+$F$11</f>
        <v>1.8964957783784195</v>
      </c>
      <c r="O22" s="234"/>
      <c r="P22" s="234"/>
      <c r="Q22" s="234">
        <v>0</v>
      </c>
    </row>
    <row r="23" spans="8:17" x14ac:dyDescent="0.25">
      <c r="H23" s="234">
        <f>AVERAGE(H22,H24)</f>
        <v>95.357035821134346</v>
      </c>
      <c r="I23" s="234"/>
      <c r="J23" s="234"/>
      <c r="K23" s="234"/>
      <c r="L23" s="234"/>
      <c r="M23" s="234"/>
      <c r="N23" s="234">
        <f>+$F$11</f>
        <v>1.8964957783784195</v>
      </c>
      <c r="O23" s="234"/>
      <c r="P23" s="234"/>
      <c r="Q23" s="234">
        <v>0</v>
      </c>
    </row>
    <row r="24" spans="8:17" x14ac:dyDescent="0.25">
      <c r="H24" s="234">
        <f>+$E$11*100</f>
        <v>96.418141873933479</v>
      </c>
      <c r="I24" s="234"/>
      <c r="J24" s="234"/>
      <c r="K24" s="234"/>
      <c r="L24" s="234"/>
      <c r="M24" s="234"/>
      <c r="N24" s="234">
        <f>+$F$11</f>
        <v>1.8964957783784195</v>
      </c>
      <c r="O24" s="234">
        <v>0</v>
      </c>
      <c r="P24" s="234"/>
      <c r="Q24" s="234">
        <v>0</v>
      </c>
    </row>
    <row r="25" spans="8:17" x14ac:dyDescent="0.25">
      <c r="H25" s="234">
        <f>+$E$11*100</f>
        <v>96.418141873933479</v>
      </c>
      <c r="I25" s="234"/>
      <c r="J25" s="234"/>
      <c r="K25" s="234"/>
      <c r="L25" s="234"/>
      <c r="M25" s="234"/>
      <c r="N25" s="234">
        <v>0</v>
      </c>
      <c r="O25" s="234">
        <f>+$F$12</f>
        <v>4.0522161126292779</v>
      </c>
      <c r="P25" s="234"/>
      <c r="Q25" s="234">
        <v>0</v>
      </c>
    </row>
    <row r="26" spans="8:17" x14ac:dyDescent="0.25">
      <c r="H26" s="234">
        <f>AVERAGE(H25,H27)</f>
        <v>98.073283026825635</v>
      </c>
      <c r="I26" s="234"/>
      <c r="J26" s="234"/>
      <c r="K26" s="234"/>
      <c r="L26" s="234"/>
      <c r="M26" s="234"/>
      <c r="N26" s="234"/>
      <c r="O26" s="234">
        <f>+$F$12</f>
        <v>4.0522161126292779</v>
      </c>
      <c r="P26" s="234"/>
      <c r="Q26" s="234">
        <v>0</v>
      </c>
    </row>
    <row r="27" spans="8:17" x14ac:dyDescent="0.25">
      <c r="H27" s="234">
        <f>+$E$12*100</f>
        <v>99.728424179717777</v>
      </c>
      <c r="I27" s="234"/>
      <c r="J27" s="234"/>
      <c r="K27" s="234"/>
      <c r="L27" s="234"/>
      <c r="M27" s="234"/>
      <c r="N27" s="234"/>
      <c r="O27" s="234">
        <f>+$F$12</f>
        <v>4.0522161126292779</v>
      </c>
      <c r="P27" s="234">
        <v>0</v>
      </c>
      <c r="Q27" s="234">
        <v>0</v>
      </c>
    </row>
    <row r="28" spans="8:17" x14ac:dyDescent="0.25">
      <c r="H28" s="234">
        <f>+$E$12*100</f>
        <v>99.728424179717777</v>
      </c>
      <c r="I28" s="234"/>
      <c r="J28" s="234"/>
      <c r="K28" s="234"/>
      <c r="L28" s="234"/>
      <c r="M28" s="234"/>
      <c r="N28" s="234"/>
      <c r="O28" s="234">
        <v>0</v>
      </c>
      <c r="P28" s="234">
        <f>+$F$13</f>
        <v>56.568552235046312</v>
      </c>
      <c r="Q28" s="234">
        <v>0</v>
      </c>
    </row>
    <row r="29" spans="8:17" x14ac:dyDescent="0.25">
      <c r="H29" s="234">
        <f>AVERAGE(H28,H30)</f>
        <v>99.864212089858881</v>
      </c>
      <c r="I29" s="234"/>
      <c r="J29" s="234"/>
      <c r="K29" s="234"/>
      <c r="L29" s="234"/>
      <c r="M29" s="234"/>
      <c r="N29" s="234"/>
      <c r="O29" s="234"/>
      <c r="P29" s="234">
        <f>+$F$13</f>
        <v>56.568552235046312</v>
      </c>
      <c r="Q29" s="234">
        <v>0</v>
      </c>
    </row>
    <row r="30" spans="8:17" x14ac:dyDescent="0.25">
      <c r="H30" s="234">
        <f>+$E$13*100</f>
        <v>100</v>
      </c>
      <c r="I30" s="234"/>
      <c r="J30" s="234"/>
      <c r="K30" s="234"/>
      <c r="L30" s="234"/>
      <c r="M30" s="234"/>
      <c r="N30" s="234"/>
      <c r="O30" s="234"/>
      <c r="P30" s="234">
        <f>+$F$13</f>
        <v>56.568552235046312</v>
      </c>
      <c r="Q30" s="234">
        <v>0</v>
      </c>
    </row>
    <row r="31" spans="8:17" x14ac:dyDescent="0.25">
      <c r="H31" s="234">
        <f>+$E$13*100</f>
        <v>100</v>
      </c>
      <c r="I31" s="234"/>
      <c r="J31" s="234"/>
      <c r="K31" s="234"/>
      <c r="L31" s="234"/>
      <c r="M31" s="234"/>
      <c r="N31" s="234"/>
      <c r="O31" s="234"/>
      <c r="P31" s="234">
        <v>0</v>
      </c>
      <c r="Q31" s="234">
        <v>0</v>
      </c>
    </row>
  </sheetData>
  <sortState ref="A6:G13">
    <sortCondition ref="D6:D13"/>
  </sortState>
  <mergeCells count="1">
    <mergeCell ref="F3:F4"/>
  </mergeCells>
  <pageMargins left="0.7" right="0.7" top="0.75" bottom="0.75" header="0.3" footer="0.3"/>
  <pageSetup paperSize="9" orientation="portrait"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5"/>
  <sheetViews>
    <sheetView showGridLines="0" workbookViewId="0">
      <selection activeCell="A2" sqref="A2"/>
    </sheetView>
  </sheetViews>
  <sheetFormatPr defaultRowHeight="12" x14ac:dyDescent="0.25"/>
  <cols>
    <col min="1" max="1" width="9.140625" style="189"/>
    <col min="2" max="2" width="20" style="189" bestFit="1" customWidth="1"/>
    <col min="3" max="8" width="9.140625" style="189"/>
    <col min="9" max="9" width="3.42578125" style="190" customWidth="1"/>
    <col min="10" max="16384" width="9.140625" style="189"/>
  </cols>
  <sheetData>
    <row r="1" spans="1:24" ht="14.4" x14ac:dyDescent="0.25">
      <c r="A1" s="188" t="s">
        <v>88</v>
      </c>
      <c r="X1" s="189" t="s">
        <v>89</v>
      </c>
    </row>
    <row r="2" spans="1:24" x14ac:dyDescent="0.25">
      <c r="A2" s="358" t="s">
        <v>263</v>
      </c>
    </row>
    <row r="3" spans="1:24" ht="24" x14ac:dyDescent="0.25">
      <c r="A3" s="191" t="s">
        <v>90</v>
      </c>
      <c r="B3" s="192" t="s">
        <v>91</v>
      </c>
      <c r="C3" s="351" t="s">
        <v>92</v>
      </c>
      <c r="D3" s="352"/>
      <c r="E3" s="352"/>
      <c r="F3" s="352"/>
      <c r="G3" s="352"/>
      <c r="H3" s="353"/>
      <c r="I3" s="193"/>
      <c r="J3" s="354" t="s">
        <v>93</v>
      </c>
      <c r="K3" s="354"/>
      <c r="L3" s="354"/>
      <c r="M3" s="354"/>
      <c r="N3" s="354"/>
      <c r="O3" s="354"/>
    </row>
    <row r="4" spans="1:24" ht="12" customHeight="1" x14ac:dyDescent="0.25">
      <c r="A4" s="194"/>
      <c r="B4" s="194"/>
      <c r="C4" s="192">
        <v>1960</v>
      </c>
      <c r="D4" s="192">
        <v>1975</v>
      </c>
      <c r="E4" s="192">
        <v>1990</v>
      </c>
      <c r="F4" s="192">
        <v>2000</v>
      </c>
      <c r="G4" s="192">
        <v>2005</v>
      </c>
      <c r="H4" s="192">
        <v>2010</v>
      </c>
      <c r="I4" s="195"/>
      <c r="J4" s="192">
        <v>1960</v>
      </c>
      <c r="K4" s="192">
        <v>1975</v>
      </c>
      <c r="L4" s="192">
        <v>1990</v>
      </c>
      <c r="M4" s="192">
        <v>2000</v>
      </c>
      <c r="N4" s="192">
        <v>2005</v>
      </c>
      <c r="O4" s="192">
        <v>2010</v>
      </c>
    </row>
    <row r="5" spans="1:24" x14ac:dyDescent="0.25">
      <c r="A5" s="114" t="s">
        <v>102</v>
      </c>
      <c r="B5" s="114" t="s">
        <v>14</v>
      </c>
      <c r="C5" s="196">
        <v>0.55494552629321448</v>
      </c>
      <c r="D5" s="196">
        <v>0.60653508078284224</v>
      </c>
      <c r="E5" s="196">
        <v>0.64269031732114468</v>
      </c>
      <c r="F5" s="196">
        <v>0.66798336176001061</v>
      </c>
      <c r="G5" s="196">
        <v>0.68100074845668856</v>
      </c>
      <c r="H5" s="196">
        <v>0.69159706970618673</v>
      </c>
      <c r="I5" s="197"/>
      <c r="J5" s="196">
        <v>0.44505447370678558</v>
      </c>
      <c r="K5" s="196">
        <v>0.39346491921715776</v>
      </c>
      <c r="L5" s="196">
        <v>0.35730968267885538</v>
      </c>
      <c r="M5" s="196">
        <v>0.33201663823998934</v>
      </c>
      <c r="N5" s="196">
        <v>0.31899925154331149</v>
      </c>
      <c r="O5" s="196">
        <v>0.30840293029381322</v>
      </c>
    </row>
    <row r="6" spans="1:24" x14ac:dyDescent="0.25">
      <c r="A6" s="114" t="s">
        <v>102</v>
      </c>
      <c r="B6" s="114" t="s">
        <v>19</v>
      </c>
      <c r="C6" s="196">
        <v>1</v>
      </c>
      <c r="D6" s="196">
        <v>1</v>
      </c>
      <c r="E6" s="196">
        <v>0.90374183636922034</v>
      </c>
      <c r="F6" s="196">
        <v>0.84477420724881758</v>
      </c>
      <c r="G6" s="196">
        <v>0.81674930680401059</v>
      </c>
      <c r="H6" s="196">
        <v>0.79500027305990939</v>
      </c>
      <c r="I6" s="197"/>
      <c r="J6" s="196">
        <v>0</v>
      </c>
      <c r="K6" s="196">
        <v>0</v>
      </c>
      <c r="L6" s="196">
        <v>9.6258163630779658E-2</v>
      </c>
      <c r="M6" s="196">
        <v>0.15522579275118245</v>
      </c>
      <c r="N6" s="196">
        <v>0.18325069319598938</v>
      </c>
      <c r="O6" s="196">
        <v>0.20499972694009061</v>
      </c>
    </row>
    <row r="7" spans="1:24" x14ac:dyDescent="0.25">
      <c r="A7" s="114" t="s">
        <v>102</v>
      </c>
      <c r="B7" s="114" t="s">
        <v>20</v>
      </c>
      <c r="C7" s="196">
        <v>1</v>
      </c>
      <c r="D7" s="196">
        <v>0.34598176325213548</v>
      </c>
      <c r="E7" s="196">
        <v>0.36614027039278224</v>
      </c>
      <c r="F7" s="196">
        <v>0.38022764652805874</v>
      </c>
      <c r="G7" s="196">
        <v>0.38747330594301854</v>
      </c>
      <c r="H7" s="196">
        <v>0.39336912122915496</v>
      </c>
      <c r="I7" s="197"/>
      <c r="J7" s="196">
        <v>0</v>
      </c>
      <c r="K7" s="196">
        <v>0.65401823674786452</v>
      </c>
      <c r="L7" s="196">
        <v>0.6338597296072177</v>
      </c>
      <c r="M7" s="196">
        <v>0.61977235347194137</v>
      </c>
      <c r="N7" s="196">
        <v>0.61252669405698146</v>
      </c>
      <c r="O7" s="196">
        <v>0.60663087877084498</v>
      </c>
    </row>
    <row r="8" spans="1:24" x14ac:dyDescent="0.25">
      <c r="A8" s="114" t="s">
        <v>102</v>
      </c>
      <c r="B8" s="114" t="s">
        <v>21</v>
      </c>
      <c r="C8" s="196">
        <v>1</v>
      </c>
      <c r="D8" s="196">
        <v>1</v>
      </c>
      <c r="E8" s="196">
        <v>0.94631599148075085</v>
      </c>
      <c r="F8" s="196">
        <v>0.91213747412694002</v>
      </c>
      <c r="G8" s="196">
        <v>0.89551395573219639</v>
      </c>
      <c r="H8" s="196">
        <v>0.8824335388574196</v>
      </c>
      <c r="I8" s="197"/>
      <c r="J8" s="196">
        <v>0</v>
      </c>
      <c r="K8" s="196">
        <v>0</v>
      </c>
      <c r="L8" s="196">
        <v>5.3684008519249198E-2</v>
      </c>
      <c r="M8" s="196">
        <v>8.7862525873059941E-2</v>
      </c>
      <c r="N8" s="196">
        <v>0.10448604426780359</v>
      </c>
      <c r="O8" s="196">
        <v>0.11756646114258035</v>
      </c>
    </row>
    <row r="9" spans="1:24" x14ac:dyDescent="0.25">
      <c r="A9" s="114" t="s">
        <v>102</v>
      </c>
      <c r="B9" s="114" t="s">
        <v>22</v>
      </c>
      <c r="C9" s="196">
        <v>1</v>
      </c>
      <c r="D9" s="196">
        <v>0.99675698460734286</v>
      </c>
      <c r="E9" s="196">
        <v>0.95834824693731524</v>
      </c>
      <c r="F9" s="196">
        <v>0.93356822769454573</v>
      </c>
      <c r="G9" s="196">
        <v>0.92141954015965832</v>
      </c>
      <c r="H9" s="196">
        <v>0.91181451623490561</v>
      </c>
      <c r="I9" s="197"/>
      <c r="J9" s="196">
        <v>0</v>
      </c>
      <c r="K9" s="196">
        <v>3.2430153926571153E-3</v>
      </c>
      <c r="L9" s="196">
        <v>4.1651753062684767E-2</v>
      </c>
      <c r="M9" s="196">
        <v>6.6431772305454315E-2</v>
      </c>
      <c r="N9" s="196">
        <v>7.8580459840341621E-2</v>
      </c>
      <c r="O9" s="196">
        <v>8.8185483765094344E-2</v>
      </c>
    </row>
    <row r="10" spans="1:24" x14ac:dyDescent="0.25">
      <c r="A10" s="114" t="s">
        <v>102</v>
      </c>
      <c r="B10" s="114" t="s">
        <v>25</v>
      </c>
      <c r="C10" s="196">
        <v>0.25479026411185918</v>
      </c>
      <c r="D10" s="196">
        <v>0.20651624628228243</v>
      </c>
      <c r="E10" s="196">
        <v>0.23513078004999802</v>
      </c>
      <c r="F10" s="196">
        <v>0.25637735304028797</v>
      </c>
      <c r="G10" s="196">
        <v>0.26771009410732116</v>
      </c>
      <c r="H10" s="196">
        <v>0.27713591848981661</v>
      </c>
      <c r="I10" s="197"/>
      <c r="J10" s="196">
        <v>0.74520973588814088</v>
      </c>
      <c r="K10" s="196">
        <v>0.79348375371771762</v>
      </c>
      <c r="L10" s="196">
        <v>0.76486921995000201</v>
      </c>
      <c r="M10" s="196">
        <v>0.74362264695971192</v>
      </c>
      <c r="N10" s="196">
        <v>0.73228990589267884</v>
      </c>
      <c r="O10" s="196">
        <v>0.72286408151018333</v>
      </c>
    </row>
    <row r="11" spans="1:24" x14ac:dyDescent="0.25">
      <c r="A11" s="114" t="s">
        <v>102</v>
      </c>
      <c r="B11" s="114" t="s">
        <v>26</v>
      </c>
      <c r="C11" s="196">
        <v>1</v>
      </c>
      <c r="D11" s="196">
        <v>1</v>
      </c>
      <c r="E11" s="196">
        <v>0.97046668557885807</v>
      </c>
      <c r="F11" s="196">
        <v>0.95126398007191604</v>
      </c>
      <c r="G11" s="196">
        <v>0.94180558781841395</v>
      </c>
      <c r="H11" s="196">
        <v>0.93430663110328938</v>
      </c>
      <c r="I11" s="197"/>
      <c r="J11" s="196">
        <v>0</v>
      </c>
      <c r="K11" s="196">
        <v>0</v>
      </c>
      <c r="L11" s="196">
        <v>2.9533314421141911E-2</v>
      </c>
      <c r="M11" s="196">
        <v>4.8736019928083983E-2</v>
      </c>
      <c r="N11" s="196">
        <v>5.8194412181586018E-2</v>
      </c>
      <c r="O11" s="196">
        <v>6.5693368896710611E-2</v>
      </c>
    </row>
    <row r="12" spans="1:24" x14ac:dyDescent="0.25">
      <c r="A12" s="114" t="s">
        <v>102</v>
      </c>
      <c r="B12" s="114" t="s">
        <v>46</v>
      </c>
      <c r="C12" s="196">
        <v>1</v>
      </c>
      <c r="D12" s="196">
        <v>0.54368562796764153</v>
      </c>
      <c r="E12" s="196">
        <v>0.61269161466818411</v>
      </c>
      <c r="F12" s="196">
        <v>0.66349551639910742</v>
      </c>
      <c r="G12" s="196">
        <v>0.6904560197553149</v>
      </c>
      <c r="H12" s="196">
        <v>0.71281108150738548</v>
      </c>
      <c r="I12" s="197"/>
      <c r="J12" s="196">
        <v>0</v>
      </c>
      <c r="K12" s="196">
        <v>0.45631437203235847</v>
      </c>
      <c r="L12" s="196">
        <v>0.38730838533181583</v>
      </c>
      <c r="M12" s="196">
        <v>0.33650448360089263</v>
      </c>
      <c r="N12" s="196">
        <v>0.3095439802446851</v>
      </c>
      <c r="O12" s="196">
        <v>0.28718891849261452</v>
      </c>
    </row>
    <row r="13" spans="1:24" x14ac:dyDescent="0.25">
      <c r="A13" s="114" t="s">
        <v>102</v>
      </c>
      <c r="B13" s="114" t="s">
        <v>33</v>
      </c>
      <c r="C13" s="196">
        <v>1</v>
      </c>
      <c r="D13" s="196">
        <v>0.97086719279935985</v>
      </c>
      <c r="E13" s="196">
        <v>0.7857878539259332</v>
      </c>
      <c r="F13" s="196">
        <v>0.68244706245684927</v>
      </c>
      <c r="G13" s="196">
        <v>0.63599074719700477</v>
      </c>
      <c r="H13" s="196">
        <v>0.60111319350250847</v>
      </c>
      <c r="I13" s="197"/>
      <c r="J13" s="196">
        <v>0</v>
      </c>
      <c r="K13" s="196">
        <v>2.9132807200640189E-2</v>
      </c>
      <c r="L13" s="196">
        <v>0.21421214607406677</v>
      </c>
      <c r="M13" s="196">
        <v>0.31755293754315073</v>
      </c>
      <c r="N13" s="196">
        <v>0.36400925280299529</v>
      </c>
      <c r="O13" s="196">
        <v>0.39888680649749148</v>
      </c>
    </row>
    <row r="14" spans="1:24" x14ac:dyDescent="0.25">
      <c r="A14" s="114" t="s">
        <v>102</v>
      </c>
      <c r="B14" s="114" t="s">
        <v>34</v>
      </c>
      <c r="C14" s="196">
        <v>1</v>
      </c>
      <c r="D14" s="196">
        <v>0.74756773845550695</v>
      </c>
      <c r="E14" s="196">
        <v>0.6304561788466102</v>
      </c>
      <c r="F14" s="196">
        <v>0.56276162505790472</v>
      </c>
      <c r="G14" s="196">
        <v>0.53169093982982985</v>
      </c>
      <c r="H14" s="196">
        <v>0.50807413649878608</v>
      </c>
      <c r="I14" s="197"/>
      <c r="J14" s="196">
        <v>0</v>
      </c>
      <c r="K14" s="196">
        <v>0.252432261544493</v>
      </c>
      <c r="L14" s="196">
        <v>0.3695438211533898</v>
      </c>
      <c r="M14" s="196">
        <v>0.43723837494209528</v>
      </c>
      <c r="N14" s="196">
        <v>0.46830906017017015</v>
      </c>
      <c r="O14" s="196">
        <v>0.49192586350121392</v>
      </c>
    </row>
    <row r="15" spans="1:24" x14ac:dyDescent="0.25">
      <c r="A15" s="114" t="s">
        <v>102</v>
      </c>
      <c r="B15" s="114" t="s">
        <v>48</v>
      </c>
      <c r="C15" s="196">
        <v>0.55556300717591045</v>
      </c>
      <c r="D15" s="196">
        <v>0.54321457958198249</v>
      </c>
      <c r="E15" s="196">
        <v>0.57743509407443827</v>
      </c>
      <c r="F15" s="196">
        <v>0.61605456947050785</v>
      </c>
      <c r="G15" s="196">
        <v>0.61196911099070639</v>
      </c>
      <c r="H15" s="196">
        <v>0.59992262740503388</v>
      </c>
      <c r="I15" s="197"/>
      <c r="J15" s="196">
        <v>0.44443699282408961</v>
      </c>
      <c r="K15" s="196">
        <v>0.45678542041801751</v>
      </c>
      <c r="L15" s="196">
        <v>0.42256490592556178</v>
      </c>
      <c r="M15" s="196">
        <v>0.38394543052949215</v>
      </c>
      <c r="N15" s="196">
        <v>0.38803088900929361</v>
      </c>
      <c r="O15" s="196">
        <v>0.40007737259496612</v>
      </c>
    </row>
  </sheetData>
  <mergeCells count="2">
    <mergeCell ref="C3:H3"/>
    <mergeCell ref="J3:O3"/>
  </mergeCells>
  <pageMargins left="0.7" right="0.7" top="0.75" bottom="0.75" header="0.3" footer="0.3"/>
  <pageSetup paperSize="9" orientation="portrait"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01"/>
  <sheetViews>
    <sheetView showGridLines="0" workbookViewId="0">
      <selection activeCell="J33" sqref="J33"/>
    </sheetView>
  </sheetViews>
  <sheetFormatPr defaultRowHeight="12" x14ac:dyDescent="0.25"/>
  <cols>
    <col min="1" max="1" width="10.42578125" style="367" customWidth="1"/>
    <col min="2" max="2" width="39" style="367" customWidth="1"/>
    <col min="3" max="3" width="4" style="367" customWidth="1"/>
    <col min="4" max="4" width="11.5703125" style="367" bestFit="1" customWidth="1"/>
    <col min="5" max="5" width="11.5703125" style="368" bestFit="1" customWidth="1"/>
    <col min="6" max="9" width="12.5703125" style="367" bestFit="1" customWidth="1"/>
    <col min="10" max="11" width="8.5703125" style="367" customWidth="1"/>
    <col min="12" max="12" width="8.5703125" style="369" customWidth="1"/>
    <col min="13" max="15" width="8.5703125" style="367" customWidth="1"/>
    <col min="16" max="16384" width="9.140625" style="367"/>
  </cols>
  <sheetData>
    <row r="1" spans="1:15" ht="14.4" x14ac:dyDescent="0.25">
      <c r="A1" s="365" t="s">
        <v>270</v>
      </c>
      <c r="B1" s="366"/>
      <c r="C1" s="366"/>
    </row>
    <row r="2" spans="1:15" s="368" customFormat="1" x14ac:dyDescent="0.25">
      <c r="A2" s="368" t="s">
        <v>271</v>
      </c>
      <c r="B2" s="370" t="s">
        <v>272</v>
      </c>
      <c r="C2" s="370"/>
      <c r="L2" s="369"/>
    </row>
    <row r="3" spans="1:15" s="368" customFormat="1" x14ac:dyDescent="0.25">
      <c r="B3" s="370" t="s">
        <v>273</v>
      </c>
      <c r="C3" s="370"/>
      <c r="L3" s="369"/>
    </row>
    <row r="4" spans="1:15" s="373" customFormat="1" x14ac:dyDescent="0.25">
      <c r="A4" s="371" t="s">
        <v>274</v>
      </c>
      <c r="B4" s="372" t="s">
        <v>275</v>
      </c>
      <c r="C4" s="371"/>
      <c r="L4" s="374"/>
    </row>
    <row r="5" spans="1:15" s="373" customFormat="1" x14ac:dyDescent="0.25">
      <c r="A5" s="375" t="s">
        <v>276</v>
      </c>
      <c r="B5" s="371" t="s">
        <v>277</v>
      </c>
      <c r="C5" s="371"/>
      <c r="L5" s="374"/>
    </row>
    <row r="6" spans="1:15" s="373" customFormat="1" ht="12" customHeight="1" x14ac:dyDescent="0.25">
      <c r="A6" s="375" t="s">
        <v>278</v>
      </c>
      <c r="B6" s="376" t="s">
        <v>279</v>
      </c>
      <c r="C6" s="110"/>
      <c r="L6" s="374"/>
    </row>
    <row r="7" spans="1:15" s="373" customFormat="1" ht="11.4" customHeight="1" x14ac:dyDescent="0.25">
      <c r="A7" s="375" t="s">
        <v>89</v>
      </c>
      <c r="B7" s="376" t="s">
        <v>280</v>
      </c>
      <c r="C7" s="110"/>
      <c r="L7" s="374"/>
    </row>
    <row r="8" spans="1:15" s="373" customFormat="1" x14ac:dyDescent="0.25">
      <c r="A8" s="377">
        <v>2</v>
      </c>
      <c r="B8" s="372" t="s">
        <v>281</v>
      </c>
      <c r="C8" s="371"/>
      <c r="L8" s="374"/>
    </row>
    <row r="9" spans="1:15" s="373" customFormat="1" x14ac:dyDescent="0.25">
      <c r="A9" s="375" t="s">
        <v>276</v>
      </c>
      <c r="B9" s="371" t="s">
        <v>282</v>
      </c>
      <c r="C9" s="371"/>
      <c r="L9" s="374"/>
    </row>
    <row r="10" spans="1:15" s="373" customFormat="1" x14ac:dyDescent="0.25">
      <c r="A10" s="375" t="s">
        <v>278</v>
      </c>
      <c r="B10" s="376" t="s">
        <v>283</v>
      </c>
      <c r="C10" s="371"/>
      <c r="L10" s="374"/>
    </row>
    <row r="11" spans="1:15" s="387" customFormat="1" ht="14.4" customHeight="1" x14ac:dyDescent="0.25">
      <c r="A11" s="378" t="s">
        <v>284</v>
      </c>
      <c r="B11" s="379"/>
      <c r="C11" s="380"/>
      <c r="D11" s="381" t="s">
        <v>285</v>
      </c>
      <c r="E11" s="382"/>
      <c r="F11" s="382"/>
      <c r="G11" s="382"/>
      <c r="H11" s="382"/>
      <c r="I11" s="383"/>
      <c r="J11" s="384" t="s">
        <v>286</v>
      </c>
      <c r="K11" s="385"/>
      <c r="L11" s="385"/>
      <c r="M11" s="385"/>
      <c r="N11" s="385"/>
      <c r="O11" s="386"/>
    </row>
    <row r="12" spans="1:15" ht="15.6" customHeight="1" x14ac:dyDescent="0.25">
      <c r="A12" s="388"/>
      <c r="B12" s="389"/>
      <c r="C12" s="390"/>
      <c r="D12" s="391" t="s">
        <v>287</v>
      </c>
      <c r="E12" s="392"/>
      <c r="F12" s="392"/>
      <c r="G12" s="392"/>
      <c r="H12" s="392"/>
      <c r="I12" s="393"/>
      <c r="J12" s="394" t="s">
        <v>288</v>
      </c>
      <c r="K12" s="395"/>
      <c r="L12" s="395"/>
      <c r="M12" s="395"/>
      <c r="N12" s="395"/>
      <c r="O12" s="396"/>
    </row>
    <row r="13" spans="1:15" s="402" customFormat="1" x14ac:dyDescent="0.25">
      <c r="A13" s="397"/>
      <c r="B13" s="398"/>
      <c r="C13" s="399"/>
      <c r="D13" s="400">
        <v>1975</v>
      </c>
      <c r="E13" s="400">
        <v>1991</v>
      </c>
      <c r="F13" s="400">
        <v>2000</v>
      </c>
      <c r="G13" s="400">
        <v>2005</v>
      </c>
      <c r="H13" s="400">
        <v>2010</v>
      </c>
      <c r="I13" s="400">
        <v>2013</v>
      </c>
      <c r="J13" s="401">
        <v>1975</v>
      </c>
      <c r="K13" s="401">
        <v>1991</v>
      </c>
      <c r="L13" s="401">
        <v>2000</v>
      </c>
      <c r="M13" s="401">
        <v>2005</v>
      </c>
      <c r="N13" s="401">
        <v>2010</v>
      </c>
      <c r="O13" s="401">
        <v>2013</v>
      </c>
    </row>
    <row r="14" spans="1:15" x14ac:dyDescent="0.25">
      <c r="A14" s="403" t="s">
        <v>14</v>
      </c>
      <c r="B14" s="404"/>
      <c r="C14" s="150">
        <v>1</v>
      </c>
      <c r="D14" s="405">
        <v>15058903.9678955</v>
      </c>
      <c r="E14" s="405">
        <v>12447406.026478</v>
      </c>
      <c r="F14" s="405">
        <v>14845180.933836399</v>
      </c>
      <c r="G14" s="405">
        <v>46016882.330272697</v>
      </c>
      <c r="H14" s="405">
        <v>86820121.555156797</v>
      </c>
      <c r="I14" s="405">
        <v>106899592.168413</v>
      </c>
      <c r="J14" s="406">
        <f t="shared" ref="J14:O21" si="0">(+D14/D$23)*100</f>
        <v>18.826798487170791</v>
      </c>
      <c r="K14" s="406">
        <f t="shared" si="0"/>
        <v>24.432277509975293</v>
      </c>
      <c r="L14" s="406">
        <f t="shared" si="0"/>
        <v>21.344919225663432</v>
      </c>
      <c r="M14" s="406">
        <f t="shared" si="0"/>
        <v>25.585804643766171</v>
      </c>
      <c r="N14" s="406">
        <f t="shared" si="0"/>
        <v>23.893704081216232</v>
      </c>
      <c r="O14" s="406">
        <f t="shared" si="0"/>
        <v>20.996397561795067</v>
      </c>
    </row>
    <row r="15" spans="1:15" x14ac:dyDescent="0.25">
      <c r="A15" s="407" t="s">
        <v>289</v>
      </c>
      <c r="B15" s="404"/>
      <c r="C15" s="150">
        <v>2</v>
      </c>
      <c r="D15" s="405">
        <v>6290183.6151719308</v>
      </c>
      <c r="E15" s="405">
        <v>8738408.7891490906</v>
      </c>
      <c r="F15" s="405">
        <v>13031917.07568207</v>
      </c>
      <c r="G15" s="405">
        <v>26781498.0805717</v>
      </c>
      <c r="H15" s="405">
        <v>57730756.674946398</v>
      </c>
      <c r="I15" s="405">
        <v>69570417.705828503</v>
      </c>
      <c r="J15" s="406">
        <f t="shared" si="0"/>
        <v>7.8640530295310276</v>
      </c>
      <c r="K15" s="406">
        <f t="shared" si="0"/>
        <v>17.152106075590712</v>
      </c>
      <c r="L15" s="406">
        <f t="shared" si="0"/>
        <v>18.737745169677247</v>
      </c>
      <c r="M15" s="406">
        <f t="shared" si="0"/>
        <v>14.890756245477386</v>
      </c>
      <c r="N15" s="406">
        <f t="shared" si="0"/>
        <v>15.888040602425724</v>
      </c>
      <c r="O15" s="406">
        <f t="shared" si="0"/>
        <v>13.664487572510517</v>
      </c>
    </row>
    <row r="16" spans="1:15" x14ac:dyDescent="0.25">
      <c r="A16" s="407" t="s">
        <v>20</v>
      </c>
      <c r="B16" s="404"/>
      <c r="C16" s="150">
        <v>3</v>
      </c>
      <c r="D16" s="405">
        <v>5221952.5775399702</v>
      </c>
      <c r="E16" s="405">
        <v>2897098.14919871</v>
      </c>
      <c r="F16" s="405">
        <v>5431236.0996486302</v>
      </c>
      <c r="G16" s="405">
        <v>11131057.9620515</v>
      </c>
      <c r="H16" s="405">
        <v>23810304.360286802</v>
      </c>
      <c r="I16" s="405">
        <v>45980839.331687503</v>
      </c>
      <c r="J16" s="406">
        <f t="shared" si="0"/>
        <v>6.52853946718185</v>
      </c>
      <c r="K16" s="406">
        <f t="shared" si="0"/>
        <v>5.6865427065117355</v>
      </c>
      <c r="L16" s="406">
        <f t="shared" si="0"/>
        <v>7.8092208076946639</v>
      </c>
      <c r="M16" s="406">
        <f t="shared" si="0"/>
        <v>6.1889693537132748</v>
      </c>
      <c r="N16" s="406">
        <f t="shared" si="0"/>
        <v>6.5528169769602655</v>
      </c>
      <c r="O16" s="406">
        <f t="shared" si="0"/>
        <v>9.0312036112557124</v>
      </c>
    </row>
    <row r="17" spans="1:15" x14ac:dyDescent="0.25">
      <c r="A17" s="407" t="s">
        <v>22</v>
      </c>
      <c r="B17" s="404"/>
      <c r="C17" s="150">
        <v>4</v>
      </c>
      <c r="D17" s="405">
        <v>8328615.0832481002</v>
      </c>
      <c r="E17" s="405">
        <v>1770959.23739781</v>
      </c>
      <c r="F17" s="405">
        <v>2305355.58606584</v>
      </c>
      <c r="G17" s="405">
        <v>4730201.6111425692</v>
      </c>
      <c r="H17" s="405">
        <v>10452389.311170299</v>
      </c>
      <c r="I17" s="405">
        <v>17012625.488679502</v>
      </c>
      <c r="J17" s="406">
        <f t="shared" si="0"/>
        <v>10.412521268733235</v>
      </c>
      <c r="K17" s="406">
        <f t="shared" si="0"/>
        <v>3.4761112038055995</v>
      </c>
      <c r="L17" s="406">
        <f t="shared" si="0"/>
        <v>3.3147207157879173</v>
      </c>
      <c r="M17" s="406">
        <f t="shared" si="0"/>
        <v>2.6300350701660529</v>
      </c>
      <c r="N17" s="406">
        <f t="shared" si="0"/>
        <v>2.8765946495952202</v>
      </c>
      <c r="O17" s="406">
        <f t="shared" si="0"/>
        <v>3.3414893460724593</v>
      </c>
    </row>
    <row r="18" spans="1:15" x14ac:dyDescent="0.25">
      <c r="A18" s="407" t="s">
        <v>290</v>
      </c>
      <c r="B18" s="404"/>
      <c r="C18" s="150">
        <v>5</v>
      </c>
      <c r="D18" s="405">
        <v>9402916.947151199</v>
      </c>
      <c r="E18" s="405">
        <v>8218993.8625173299</v>
      </c>
      <c r="F18" s="405">
        <v>11411738.3668369</v>
      </c>
      <c r="G18" s="405">
        <v>30673886.2859</v>
      </c>
      <c r="H18" s="405">
        <v>61467278.4955092</v>
      </c>
      <c r="I18" s="405">
        <v>91227991.375930801</v>
      </c>
      <c r="J18" s="406">
        <f t="shared" si="0"/>
        <v>11.755624641277164</v>
      </c>
      <c r="K18" s="406">
        <f t="shared" si="0"/>
        <v>16.132577219273536</v>
      </c>
      <c r="L18" s="406">
        <f t="shared" si="0"/>
        <v>16.408195679807694</v>
      </c>
      <c r="M18" s="406">
        <f t="shared" si="0"/>
        <v>17.054959450389276</v>
      </c>
      <c r="N18" s="406">
        <f t="shared" si="0"/>
        <v>16.916366122758195</v>
      </c>
      <c r="O18" s="406">
        <f t="shared" si="0"/>
        <v>17.918301995721183</v>
      </c>
    </row>
    <row r="19" spans="1:15" x14ac:dyDescent="0.25">
      <c r="A19" s="407" t="s">
        <v>291</v>
      </c>
      <c r="B19" s="404"/>
      <c r="C19" s="150">
        <v>6</v>
      </c>
      <c r="D19" s="405">
        <v>10714945.7545582</v>
      </c>
      <c r="E19" s="405">
        <v>4051804.5232390799</v>
      </c>
      <c r="F19" s="405">
        <v>7946681.76850917</v>
      </c>
      <c r="G19" s="405">
        <v>21361663.8255358</v>
      </c>
      <c r="H19" s="405">
        <v>44244303.942117698</v>
      </c>
      <c r="I19" s="405">
        <v>59821553.921620399</v>
      </c>
      <c r="J19" s="406">
        <f t="shared" si="0"/>
        <v>13.395936713063797</v>
      </c>
      <c r="K19" s="406">
        <f t="shared" si="0"/>
        <v>7.9530475921946744</v>
      </c>
      <c r="L19" s="406">
        <f t="shared" si="0"/>
        <v>11.426016376416484</v>
      </c>
      <c r="M19" s="406">
        <f t="shared" si="0"/>
        <v>11.877279159922756</v>
      </c>
      <c r="N19" s="406">
        <f t="shared" si="0"/>
        <v>12.176443510283908</v>
      </c>
      <c r="O19" s="406">
        <f t="shared" si="0"/>
        <v>11.74969055937933</v>
      </c>
    </row>
    <row r="20" spans="1:15" x14ac:dyDescent="0.25">
      <c r="A20" s="407" t="s">
        <v>292</v>
      </c>
      <c r="B20" s="404"/>
      <c r="C20" s="150">
        <v>7</v>
      </c>
      <c r="D20" s="405">
        <v>24969018.151675098</v>
      </c>
      <c r="E20" s="405">
        <v>12821893.9367391</v>
      </c>
      <c r="F20" s="405">
        <v>14576904.512786301</v>
      </c>
      <c r="G20" s="405">
        <v>39157986.191027395</v>
      </c>
      <c r="H20" s="405">
        <v>78834671.580015793</v>
      </c>
      <c r="I20" s="405">
        <v>118619996.058779</v>
      </c>
      <c r="J20" s="406">
        <f t="shared" si="0"/>
        <v>31.21652639304213</v>
      </c>
      <c r="K20" s="406">
        <f t="shared" si="0"/>
        <v>25.167337692648452</v>
      </c>
      <c r="L20" s="406">
        <f t="shared" si="0"/>
        <v>20.959182024952561</v>
      </c>
      <c r="M20" s="406">
        <f t="shared" si="0"/>
        <v>21.772196076565081</v>
      </c>
      <c r="N20" s="406">
        <f t="shared" si="0"/>
        <v>21.696034056760457</v>
      </c>
      <c r="O20" s="406">
        <f t="shared" si="0"/>
        <v>23.298429353265725</v>
      </c>
    </row>
    <row r="21" spans="1:15" s="413" customFormat="1" x14ac:dyDescent="0.25">
      <c r="A21" s="408" t="s">
        <v>293</v>
      </c>
      <c r="B21" s="409"/>
      <c r="C21" s="410"/>
      <c r="D21" s="411">
        <v>79986536.097240001</v>
      </c>
      <c r="E21" s="411">
        <v>50946564.524618201</v>
      </c>
      <c r="F21" s="411">
        <v>69549014.343365297</v>
      </c>
      <c r="G21" s="411">
        <v>179853176.286502</v>
      </c>
      <c r="H21" s="411">
        <v>363359825.91920298</v>
      </c>
      <c r="I21" s="411">
        <v>509133016.05093801</v>
      </c>
      <c r="J21" s="412">
        <f t="shared" si="0"/>
        <v>100</v>
      </c>
      <c r="K21" s="412">
        <f t="shared" si="0"/>
        <v>99.999999999801915</v>
      </c>
      <c r="L21" s="412">
        <f t="shared" si="0"/>
        <v>99.999999999999972</v>
      </c>
      <c r="M21" s="412">
        <f t="shared" si="0"/>
        <v>100.00000000000017</v>
      </c>
      <c r="N21" s="412">
        <f t="shared" si="0"/>
        <v>100</v>
      </c>
      <c r="O21" s="412">
        <f t="shared" si="0"/>
        <v>99.999999999999858</v>
      </c>
    </row>
    <row r="22" spans="1:15" s="419" customFormat="1" x14ac:dyDescent="0.25">
      <c r="A22" s="414" t="s">
        <v>294</v>
      </c>
      <c r="B22" s="415"/>
      <c r="C22" s="416"/>
      <c r="D22" s="417"/>
      <c r="E22" s="417"/>
      <c r="F22" s="417"/>
      <c r="G22" s="417"/>
      <c r="H22" s="417"/>
      <c r="I22" s="417"/>
      <c r="J22" s="418"/>
      <c r="K22" s="418"/>
      <c r="L22" s="418"/>
      <c r="M22" s="418"/>
      <c r="N22" s="418"/>
      <c r="O22" s="418"/>
    </row>
    <row r="23" spans="1:15" s="419" customFormat="1" x14ac:dyDescent="0.25">
      <c r="A23" s="420" t="s">
        <v>295</v>
      </c>
      <c r="B23" s="421"/>
      <c r="C23" s="422"/>
      <c r="D23" s="423">
        <f>SUM(D14:D20)</f>
        <v>79986536.097240001</v>
      </c>
      <c r="E23" s="423">
        <f t="shared" ref="E23:I23" si="1">SUM(E14:E20)</f>
        <v>50946564.524719119</v>
      </c>
      <c r="F23" s="423">
        <f t="shared" si="1"/>
        <v>69549014.343365312</v>
      </c>
      <c r="G23" s="423">
        <f t="shared" si="1"/>
        <v>179853176.28650168</v>
      </c>
      <c r="H23" s="423">
        <f t="shared" si="1"/>
        <v>363359825.91920298</v>
      </c>
      <c r="I23" s="423">
        <f t="shared" si="1"/>
        <v>509133016.05093873</v>
      </c>
      <c r="J23" s="424">
        <f>SUM(J14:J20)</f>
        <v>100</v>
      </c>
      <c r="K23" s="424">
        <f t="shared" ref="K23:O23" si="2">SUM(K14:K20)</f>
        <v>100</v>
      </c>
      <c r="L23" s="424">
        <f t="shared" si="2"/>
        <v>100</v>
      </c>
      <c r="M23" s="424">
        <f t="shared" si="2"/>
        <v>100</v>
      </c>
      <c r="N23" s="424">
        <f t="shared" si="2"/>
        <v>99.999999999999986</v>
      </c>
      <c r="O23" s="424">
        <f t="shared" si="2"/>
        <v>100</v>
      </c>
    </row>
    <row r="25" spans="1:15" s="387" customFormat="1" ht="14.4" x14ac:dyDescent="0.25">
      <c r="A25" s="378" t="s">
        <v>284</v>
      </c>
      <c r="B25" s="379"/>
      <c r="C25" s="425"/>
      <c r="D25" s="426" t="s">
        <v>296</v>
      </c>
      <c r="E25" s="427"/>
      <c r="F25" s="427"/>
      <c r="G25" s="427"/>
      <c r="H25" s="427"/>
      <c r="I25" s="427"/>
      <c r="J25" s="428" t="s">
        <v>297</v>
      </c>
      <c r="K25" s="429"/>
      <c r="L25" s="429"/>
      <c r="M25" s="429"/>
      <c r="N25" s="429"/>
      <c r="O25" s="429"/>
    </row>
    <row r="26" spans="1:15" x14ac:dyDescent="0.25">
      <c r="A26" s="388"/>
      <c r="B26" s="389"/>
      <c r="C26" s="390"/>
      <c r="D26" s="391" t="s">
        <v>287</v>
      </c>
      <c r="E26" s="392"/>
      <c r="F26" s="392"/>
      <c r="G26" s="392"/>
      <c r="H26" s="392"/>
      <c r="I26" s="393"/>
      <c r="J26" s="394" t="s">
        <v>288</v>
      </c>
      <c r="K26" s="395"/>
      <c r="L26" s="395"/>
      <c r="M26" s="395"/>
      <c r="N26" s="395"/>
      <c r="O26" s="396"/>
    </row>
    <row r="27" spans="1:15" x14ac:dyDescent="0.25">
      <c r="A27" s="397"/>
      <c r="B27" s="398"/>
      <c r="C27" s="399"/>
      <c r="D27" s="430">
        <v>1975</v>
      </c>
      <c r="E27" s="430">
        <v>1991</v>
      </c>
      <c r="F27" s="430">
        <v>2000</v>
      </c>
      <c r="G27" s="431">
        <v>2005</v>
      </c>
      <c r="H27" s="431">
        <v>2010</v>
      </c>
      <c r="I27" s="431">
        <v>2013</v>
      </c>
      <c r="J27" s="432">
        <v>1975</v>
      </c>
      <c r="K27" s="432">
        <v>1991</v>
      </c>
      <c r="L27" s="432">
        <v>2000</v>
      </c>
      <c r="M27" s="433">
        <v>2005</v>
      </c>
      <c r="N27" s="433">
        <v>2010</v>
      </c>
      <c r="O27" s="433">
        <v>2013</v>
      </c>
    </row>
    <row r="28" spans="1:15" x14ac:dyDescent="0.25">
      <c r="A28" s="403" t="s">
        <v>14</v>
      </c>
      <c r="B28" s="404"/>
      <c r="C28" s="150">
        <v>1</v>
      </c>
      <c r="D28" s="405">
        <v>13533121.925892252</v>
      </c>
      <c r="E28" s="405">
        <v>17280749.640759714</v>
      </c>
      <c r="F28" s="405">
        <v>23448454.97872445</v>
      </c>
      <c r="G28" s="405">
        <v>46016882.330272742</v>
      </c>
      <c r="H28" s="405">
        <v>63078219.5713223</v>
      </c>
      <c r="I28" s="405">
        <v>71303884.252330258</v>
      </c>
      <c r="J28" s="406">
        <f t="shared" ref="J28:O35" si="3">(+D28/D$37)*100</f>
        <v>21.444394261397342</v>
      </c>
      <c r="K28" s="406">
        <f t="shared" si="3"/>
        <v>20.189700250927292</v>
      </c>
      <c r="L28" s="406">
        <f t="shared" si="3"/>
        <v>21.596312657777862</v>
      </c>
      <c r="M28" s="406">
        <f t="shared" si="3"/>
        <v>25.585804643766171</v>
      </c>
      <c r="N28" s="406">
        <f t="shared" si="3"/>
        <v>22.988942362963254</v>
      </c>
      <c r="O28" s="406">
        <f t="shared" si="3"/>
        <v>22.375810996559817</v>
      </c>
    </row>
    <row r="29" spans="1:15" x14ac:dyDescent="0.25">
      <c r="A29" s="407" t="s">
        <v>289</v>
      </c>
      <c r="B29" s="404"/>
      <c r="C29" s="150">
        <v>2</v>
      </c>
      <c r="D29" s="405">
        <v>19731318.123410117</v>
      </c>
      <c r="E29" s="405">
        <v>17208161.086634297</v>
      </c>
      <c r="F29" s="405">
        <v>20973995.04692395</v>
      </c>
      <c r="G29" s="405">
        <v>26781498.080571733</v>
      </c>
      <c r="H29" s="405">
        <v>22516853.090195481</v>
      </c>
      <c r="I29" s="405">
        <v>15639753.934901092</v>
      </c>
      <c r="J29" s="406">
        <f t="shared" si="3"/>
        <v>31.265968595606523</v>
      </c>
      <c r="K29" s="406">
        <f t="shared" si="3"/>
        <v>20.104892520944119</v>
      </c>
      <c r="L29" s="406">
        <f t="shared" si="3"/>
        <v>19.317304919536923</v>
      </c>
      <c r="M29" s="406">
        <f t="shared" si="3"/>
        <v>14.890756245477391</v>
      </c>
      <c r="N29" s="406">
        <f t="shared" si="3"/>
        <v>8.2062975366722739</v>
      </c>
      <c r="O29" s="406">
        <f t="shared" si="3"/>
        <v>4.90789782000709</v>
      </c>
    </row>
    <row r="30" spans="1:15" x14ac:dyDescent="0.25">
      <c r="A30" s="407" t="s">
        <v>20</v>
      </c>
      <c r="B30" s="404"/>
      <c r="C30" s="150">
        <v>3</v>
      </c>
      <c r="D30" s="405">
        <v>3577778.3030490936</v>
      </c>
      <c r="E30" s="405">
        <v>8396802.1226640735</v>
      </c>
      <c r="F30" s="405">
        <v>7292940.9502994139</v>
      </c>
      <c r="G30" s="405">
        <v>11131057.962051483</v>
      </c>
      <c r="H30" s="405">
        <v>16854922.38672509</v>
      </c>
      <c r="I30" s="405">
        <v>27441366.628897935</v>
      </c>
      <c r="J30" s="406">
        <f t="shared" si="3"/>
        <v>5.669297072072264</v>
      </c>
      <c r="K30" s="406">
        <f t="shared" si="3"/>
        <v>9.8102756794227037</v>
      </c>
      <c r="L30" s="406">
        <f t="shared" si="3"/>
        <v>6.7168874495263431</v>
      </c>
      <c r="M30" s="406">
        <f t="shared" si="3"/>
        <v>6.1889693537132606</v>
      </c>
      <c r="N30" s="406">
        <f t="shared" si="3"/>
        <v>6.1427992405924456</v>
      </c>
      <c r="O30" s="406">
        <f t="shared" si="3"/>
        <v>8.6113518164398926</v>
      </c>
    </row>
    <row r="31" spans="1:15" x14ac:dyDescent="0.25">
      <c r="A31" s="407" t="s">
        <v>22</v>
      </c>
      <c r="B31" s="404"/>
      <c r="C31" s="150">
        <v>4</v>
      </c>
      <c r="D31" s="405">
        <v>3186307.1430916768</v>
      </c>
      <c r="E31" s="405">
        <v>2504910.6798009062</v>
      </c>
      <c r="F31" s="405">
        <v>3561740.9170035464</v>
      </c>
      <c r="G31" s="405">
        <v>4730201.6111425692</v>
      </c>
      <c r="H31" s="405">
        <v>8555298.6679666694</v>
      </c>
      <c r="I31" s="405">
        <v>12375041.106884833</v>
      </c>
      <c r="J31" s="406">
        <f t="shared" si="3"/>
        <v>5.0489773895877725</v>
      </c>
      <c r="K31" s="406">
        <f t="shared" si="3"/>
        <v>2.9265741840990787</v>
      </c>
      <c r="L31" s="406">
        <f t="shared" si="3"/>
        <v>3.2804067696315804</v>
      </c>
      <c r="M31" s="406">
        <f t="shared" si="3"/>
        <v>2.6300350701660506</v>
      </c>
      <c r="N31" s="406">
        <f t="shared" si="3"/>
        <v>3.1179901606677376</v>
      </c>
      <c r="O31" s="406">
        <f t="shared" si="3"/>
        <v>3.8834010767550033</v>
      </c>
    </row>
    <row r="32" spans="1:15" x14ac:dyDescent="0.25">
      <c r="A32" s="407" t="s">
        <v>290</v>
      </c>
      <c r="B32" s="404"/>
      <c r="C32" s="150">
        <v>5</v>
      </c>
      <c r="D32" s="405">
        <v>9193325.1972175315</v>
      </c>
      <c r="E32" s="405">
        <v>14493204.953081576</v>
      </c>
      <c r="F32" s="405">
        <v>16930462.873482618</v>
      </c>
      <c r="G32" s="405">
        <v>30673886.285900015</v>
      </c>
      <c r="H32" s="405">
        <v>57519685.340075433</v>
      </c>
      <c r="I32" s="405">
        <v>68789731.025964648</v>
      </c>
      <c r="J32" s="406">
        <f t="shared" si="3"/>
        <v>14.567613532335278</v>
      </c>
      <c r="K32" s="406">
        <f t="shared" si="3"/>
        <v>16.932914934881701</v>
      </c>
      <c r="L32" s="406">
        <f t="shared" si="3"/>
        <v>15.59316253409378</v>
      </c>
      <c r="M32" s="406">
        <f t="shared" si="3"/>
        <v>17.054959450389269</v>
      </c>
      <c r="N32" s="406">
        <f t="shared" si="3"/>
        <v>20.9631270509092</v>
      </c>
      <c r="O32" s="406">
        <f t="shared" si="3"/>
        <v>21.586846720638068</v>
      </c>
    </row>
    <row r="33" spans="1:15" x14ac:dyDescent="0.25">
      <c r="A33" s="407" t="s">
        <v>291</v>
      </c>
      <c r="B33" s="404"/>
      <c r="C33" s="150">
        <v>6</v>
      </c>
      <c r="D33" s="405">
        <v>5127661.5394725697</v>
      </c>
      <c r="E33" s="405">
        <v>5447799.5692067668</v>
      </c>
      <c r="F33" s="405">
        <v>7421792.7086735675</v>
      </c>
      <c r="G33" s="405">
        <v>21361663.825535838</v>
      </c>
      <c r="H33" s="405">
        <v>51618426.489868112</v>
      </c>
      <c r="I33" s="405">
        <v>58381911.045087107</v>
      </c>
      <c r="J33" s="406">
        <f t="shared" si="3"/>
        <v>8.1252202037043038</v>
      </c>
      <c r="K33" s="406">
        <f t="shared" si="3"/>
        <v>6.3648535286910155</v>
      </c>
      <c r="L33" s="406">
        <f t="shared" si="3"/>
        <v>6.8355614885143066</v>
      </c>
      <c r="M33" s="406">
        <f t="shared" si="3"/>
        <v>11.877279159922766</v>
      </c>
      <c r="N33" s="406">
        <f t="shared" si="3"/>
        <v>18.812405288337118</v>
      </c>
      <c r="O33" s="406">
        <f t="shared" si="3"/>
        <v>18.320777624679614</v>
      </c>
    </row>
    <row r="34" spans="1:15" x14ac:dyDescent="0.25">
      <c r="A34" s="407" t="s">
        <v>292</v>
      </c>
      <c r="B34" s="404"/>
      <c r="C34" s="150">
        <v>7</v>
      </c>
      <c r="D34" s="405">
        <v>8758457.9018313549</v>
      </c>
      <c r="E34" s="405">
        <v>20260279.831507485</v>
      </c>
      <c r="F34" s="405">
        <v>28946809.537300229</v>
      </c>
      <c r="G34" s="405">
        <v>39157986.191027448</v>
      </c>
      <c r="H34" s="405">
        <v>54241638.251884319</v>
      </c>
      <c r="I34" s="405">
        <v>64733339.446919017</v>
      </c>
      <c r="J34" s="406">
        <f t="shared" si="3"/>
        <v>13.878528945296512</v>
      </c>
      <c r="K34" s="406">
        <f t="shared" si="3"/>
        <v>23.670788901034086</v>
      </c>
      <c r="L34" s="406">
        <f t="shared" si="3"/>
        <v>26.660364180919206</v>
      </c>
      <c r="M34" s="406">
        <f t="shared" si="3"/>
        <v>21.772196076565091</v>
      </c>
      <c r="N34" s="406">
        <f t="shared" si="3"/>
        <v>19.768438359857971</v>
      </c>
      <c r="O34" s="406">
        <f t="shared" si="3"/>
        <v>20.313913944920515</v>
      </c>
    </row>
    <row r="35" spans="1:15" s="413" customFormat="1" x14ac:dyDescent="0.25">
      <c r="A35" s="408" t="s">
        <v>293</v>
      </c>
      <c r="B35" s="409"/>
      <c r="C35" s="410"/>
      <c r="D35" s="411">
        <v>68783786.490619391</v>
      </c>
      <c r="E35" s="411">
        <v>91093451.291478574</v>
      </c>
      <c r="F35" s="411">
        <v>113748273.3808566</v>
      </c>
      <c r="G35" s="411">
        <v>179853176.28650182</v>
      </c>
      <c r="H35" s="411">
        <v>255645980.18203866</v>
      </c>
      <c r="I35" s="411">
        <v>295574809.44803834</v>
      </c>
      <c r="J35" s="412">
        <f t="shared" si="3"/>
        <v>108.99381860105191</v>
      </c>
      <c r="K35" s="412">
        <f t="shared" si="3"/>
        <v>106.42764432275773</v>
      </c>
      <c r="L35" s="412">
        <f t="shared" si="3"/>
        <v>104.76354533568511</v>
      </c>
      <c r="M35" s="412">
        <f t="shared" si="3"/>
        <v>100</v>
      </c>
      <c r="N35" s="412">
        <f t="shared" si="3"/>
        <v>93.170522942281167</v>
      </c>
      <c r="O35" s="412">
        <f t="shared" si="3"/>
        <v>92.754078419470503</v>
      </c>
    </row>
    <row r="36" spans="1:15" x14ac:dyDescent="0.25">
      <c r="A36" s="414" t="s">
        <v>294</v>
      </c>
      <c r="B36" s="415"/>
      <c r="C36" s="416"/>
      <c r="D36" s="434"/>
      <c r="E36" s="434"/>
      <c r="F36" s="434"/>
      <c r="G36" s="434"/>
      <c r="H36" s="434"/>
      <c r="I36" s="434"/>
      <c r="J36" s="435"/>
      <c r="K36" s="435"/>
      <c r="L36" s="435"/>
      <c r="M36" s="435"/>
      <c r="N36" s="435"/>
      <c r="O36" s="435"/>
    </row>
    <row r="37" spans="1:15" x14ac:dyDescent="0.25">
      <c r="A37" s="420" t="s">
        <v>295</v>
      </c>
      <c r="B37" s="421"/>
      <c r="C37" s="422"/>
      <c r="D37" s="423">
        <f t="shared" ref="D37:I37" si="4">SUM(D28:D34)</f>
        <v>63107970.133964598</v>
      </c>
      <c r="E37" s="423">
        <f t="shared" si="4"/>
        <v>85591907.883654818</v>
      </c>
      <c r="F37" s="423">
        <f t="shared" si="4"/>
        <v>108576197.01240778</v>
      </c>
      <c r="G37" s="423">
        <f t="shared" si="4"/>
        <v>179853176.28650182</v>
      </c>
      <c r="H37" s="423">
        <f t="shared" si="4"/>
        <v>274385043.79803741</v>
      </c>
      <c r="I37" s="423">
        <f t="shared" si="4"/>
        <v>318665027.4409849</v>
      </c>
      <c r="J37" s="424">
        <f t="shared" ref="J37:O37" si="5">SUM(J28:J34)</f>
        <v>99.999999999999986</v>
      </c>
      <c r="K37" s="424">
        <f t="shared" si="5"/>
        <v>100</v>
      </c>
      <c r="L37" s="424">
        <f t="shared" si="5"/>
        <v>99.999999999999986</v>
      </c>
      <c r="M37" s="424">
        <f t="shared" si="5"/>
        <v>100</v>
      </c>
      <c r="N37" s="424">
        <f t="shared" si="5"/>
        <v>100</v>
      </c>
      <c r="O37" s="424">
        <f t="shared" si="5"/>
        <v>99.999999999999986</v>
      </c>
    </row>
    <row r="39" spans="1:15" s="387" customFormat="1" ht="14.4" x14ac:dyDescent="0.25">
      <c r="A39" s="378" t="s">
        <v>284</v>
      </c>
      <c r="B39" s="379"/>
      <c r="C39" s="425"/>
      <c r="D39" s="426" t="s">
        <v>298</v>
      </c>
      <c r="E39" s="427"/>
      <c r="F39" s="427"/>
      <c r="G39" s="427"/>
      <c r="H39" s="427"/>
      <c r="I39" s="427"/>
      <c r="J39" s="428" t="s">
        <v>299</v>
      </c>
      <c r="K39" s="429"/>
      <c r="L39" s="429"/>
      <c r="M39" s="429"/>
      <c r="N39" s="429"/>
      <c r="O39" s="429"/>
    </row>
    <row r="40" spans="1:15" x14ac:dyDescent="0.25">
      <c r="A40" s="388"/>
      <c r="B40" s="389"/>
      <c r="C40" s="390"/>
      <c r="D40" s="436" t="s">
        <v>300</v>
      </c>
      <c r="E40" s="437"/>
      <c r="F40" s="437"/>
      <c r="G40" s="437"/>
      <c r="H40" s="437"/>
      <c r="I40" s="438"/>
      <c r="J40" s="394" t="s">
        <v>288</v>
      </c>
      <c r="K40" s="395"/>
      <c r="L40" s="395"/>
      <c r="M40" s="395"/>
      <c r="N40" s="395"/>
      <c r="O40" s="396"/>
    </row>
    <row r="41" spans="1:15" x14ac:dyDescent="0.25">
      <c r="A41" s="397"/>
      <c r="B41" s="398"/>
      <c r="C41" s="399"/>
      <c r="D41" s="430">
        <v>1975</v>
      </c>
      <c r="E41" s="292">
        <v>1991</v>
      </c>
      <c r="F41" s="292">
        <v>2000</v>
      </c>
      <c r="G41" s="292">
        <v>2005</v>
      </c>
      <c r="H41" s="292">
        <v>2010</v>
      </c>
      <c r="I41" s="292">
        <v>2013</v>
      </c>
      <c r="J41" s="432">
        <v>1975</v>
      </c>
      <c r="K41" s="439">
        <v>1991</v>
      </c>
      <c r="L41" s="439">
        <v>2000</v>
      </c>
      <c r="M41" s="439">
        <v>2005</v>
      </c>
      <c r="N41" s="439">
        <v>2010</v>
      </c>
      <c r="O41" s="439">
        <v>2013</v>
      </c>
    </row>
    <row r="42" spans="1:15" x14ac:dyDescent="0.25">
      <c r="A42" s="403" t="s">
        <v>14</v>
      </c>
      <c r="B42" s="404"/>
      <c r="C42" s="150">
        <v>1</v>
      </c>
      <c r="D42" s="440" t="s">
        <v>29</v>
      </c>
      <c r="E42" s="441">
        <v>14328</v>
      </c>
      <c r="F42" s="441">
        <v>17512</v>
      </c>
      <c r="G42" s="441">
        <v>18889</v>
      </c>
      <c r="H42" s="441">
        <v>20045</v>
      </c>
      <c r="I42" s="441">
        <v>20082</v>
      </c>
      <c r="J42" s="442" t="s">
        <v>29</v>
      </c>
      <c r="K42" s="443">
        <f t="shared" ref="K42:O48" si="6">(+E42/E$50)*100</f>
        <v>50.127698282195709</v>
      </c>
      <c r="L42" s="443">
        <f t="shared" si="6"/>
        <v>48.76636034530771</v>
      </c>
      <c r="M42" s="443">
        <f t="shared" si="6"/>
        <v>47.273318817729063</v>
      </c>
      <c r="N42" s="443">
        <f t="shared" si="6"/>
        <v>43.604524690015225</v>
      </c>
      <c r="O42" s="443">
        <f t="shared" si="6"/>
        <v>40.058246229952928</v>
      </c>
    </row>
    <row r="43" spans="1:15" x14ac:dyDescent="0.25">
      <c r="A43" s="407" t="s">
        <v>289</v>
      </c>
      <c r="B43" s="404"/>
      <c r="C43" s="150">
        <v>2</v>
      </c>
      <c r="D43" s="440" t="s">
        <v>29</v>
      </c>
      <c r="E43" s="441">
        <v>126</v>
      </c>
      <c r="F43" s="441">
        <v>168</v>
      </c>
      <c r="G43" s="441">
        <v>251</v>
      </c>
      <c r="H43" s="441">
        <v>624</v>
      </c>
      <c r="I43" s="441">
        <v>722</v>
      </c>
      <c r="J43" s="442" t="s">
        <v>29</v>
      </c>
      <c r="K43" s="443">
        <f t="shared" si="6"/>
        <v>0.44082146730574118</v>
      </c>
      <c r="L43" s="443">
        <f t="shared" si="6"/>
        <v>0.46783625730994155</v>
      </c>
      <c r="M43" s="443">
        <f t="shared" si="6"/>
        <v>0.62817528843506765</v>
      </c>
      <c r="N43" s="443">
        <f t="shared" si="6"/>
        <v>1.3574070045681965</v>
      </c>
      <c r="O43" s="443">
        <f t="shared" si="6"/>
        <v>1.4401978776031277</v>
      </c>
    </row>
    <row r="44" spans="1:15" x14ac:dyDescent="0.25">
      <c r="A44" s="407" t="s">
        <v>20</v>
      </c>
      <c r="B44" s="404"/>
      <c r="C44" s="150">
        <v>3</v>
      </c>
      <c r="D44" s="440" t="s">
        <v>29</v>
      </c>
      <c r="E44" s="441">
        <v>3504</v>
      </c>
      <c r="F44" s="441">
        <v>4115</v>
      </c>
      <c r="G44" s="441">
        <v>3284</v>
      </c>
      <c r="H44" s="441">
        <v>3021</v>
      </c>
      <c r="I44" s="441">
        <v>3657</v>
      </c>
      <c r="J44" s="442" t="s">
        <v>29</v>
      </c>
      <c r="K44" s="443">
        <f t="shared" si="6"/>
        <v>12.259035090788231</v>
      </c>
      <c r="L44" s="443">
        <f t="shared" si="6"/>
        <v>11.459203564466721</v>
      </c>
      <c r="M44" s="443">
        <f t="shared" si="6"/>
        <v>8.2188352478914837</v>
      </c>
      <c r="N44" s="443">
        <f t="shared" si="6"/>
        <v>6.5716771807700676</v>
      </c>
      <c r="O44" s="443">
        <f t="shared" si="6"/>
        <v>7.2947418814330174</v>
      </c>
    </row>
    <row r="45" spans="1:15" x14ac:dyDescent="0.25">
      <c r="A45" s="407" t="s">
        <v>22</v>
      </c>
      <c r="B45" s="404"/>
      <c r="C45" s="150">
        <v>4</v>
      </c>
      <c r="D45" s="440" t="s">
        <v>29</v>
      </c>
      <c r="E45" s="444">
        <v>319</v>
      </c>
      <c r="F45" s="444">
        <v>423</v>
      </c>
      <c r="G45" s="444">
        <v>565</v>
      </c>
      <c r="H45" s="444">
        <v>756</v>
      </c>
      <c r="I45" s="444">
        <v>848</v>
      </c>
      <c r="J45" s="442" t="s">
        <v>29</v>
      </c>
      <c r="K45" s="443">
        <f t="shared" si="6"/>
        <v>1.1160480005597733</v>
      </c>
      <c r="L45" s="443">
        <f t="shared" si="6"/>
        <v>1.1779448621553885</v>
      </c>
      <c r="M45" s="443">
        <f t="shared" si="6"/>
        <v>1.4140200715769453</v>
      </c>
      <c r="N45" s="443">
        <f t="shared" si="6"/>
        <v>1.6445507939960844</v>
      </c>
      <c r="O45" s="443">
        <f t="shared" si="6"/>
        <v>1.6915343493178012</v>
      </c>
    </row>
    <row r="46" spans="1:15" x14ac:dyDescent="0.25">
      <c r="A46" s="407" t="s">
        <v>290</v>
      </c>
      <c r="B46" s="404"/>
      <c r="C46" s="150">
        <v>5</v>
      </c>
      <c r="D46" s="440" t="s">
        <v>29</v>
      </c>
      <c r="E46" s="444">
        <v>5802</v>
      </c>
      <c r="F46" s="444">
        <v>7637</v>
      </c>
      <c r="G46" s="444">
        <v>9006</v>
      </c>
      <c r="H46" s="444">
        <v>10788</v>
      </c>
      <c r="I46" s="444">
        <v>12278</v>
      </c>
      <c r="J46" s="442" t="s">
        <v>29</v>
      </c>
      <c r="K46" s="443">
        <f t="shared" si="6"/>
        <v>20.298778994507224</v>
      </c>
      <c r="L46" s="443">
        <f t="shared" si="6"/>
        <v>21.267056530214425</v>
      </c>
      <c r="M46" s="443">
        <f t="shared" si="6"/>
        <v>22.539229671897289</v>
      </c>
      <c r="N46" s="443">
        <f t="shared" si="6"/>
        <v>23.467478790515553</v>
      </c>
      <c r="O46" s="443">
        <f t="shared" si="6"/>
        <v>24.491342854863159</v>
      </c>
    </row>
    <row r="47" spans="1:15" x14ac:dyDescent="0.25">
      <c r="A47" s="407" t="s">
        <v>291</v>
      </c>
      <c r="B47" s="404"/>
      <c r="C47" s="150">
        <v>6</v>
      </c>
      <c r="D47" s="440" t="s">
        <v>29</v>
      </c>
      <c r="E47" s="444">
        <v>606</v>
      </c>
      <c r="F47" s="444">
        <v>837</v>
      </c>
      <c r="G47" s="444">
        <v>1189</v>
      </c>
      <c r="H47" s="444">
        <v>1728</v>
      </c>
      <c r="I47" s="444">
        <v>2019</v>
      </c>
      <c r="J47" s="442" t="s">
        <v>29</v>
      </c>
      <c r="K47" s="443">
        <f t="shared" si="6"/>
        <v>2.1201413427561837</v>
      </c>
      <c r="L47" s="443">
        <f t="shared" si="6"/>
        <v>2.3308270676691731</v>
      </c>
      <c r="M47" s="443">
        <f t="shared" si="6"/>
        <v>2.975698876292014</v>
      </c>
      <c r="N47" s="443">
        <f t="shared" si="6"/>
        <v>3.7589732434196215</v>
      </c>
      <c r="O47" s="443">
        <f t="shared" si="6"/>
        <v>4.0273677491422646</v>
      </c>
    </row>
    <row r="48" spans="1:15" x14ac:dyDescent="0.25">
      <c r="A48" s="407" t="s">
        <v>292</v>
      </c>
      <c r="B48" s="404"/>
      <c r="C48" s="150">
        <v>7</v>
      </c>
      <c r="D48" s="440" t="s">
        <v>29</v>
      </c>
      <c r="E48" s="444">
        <v>3898</v>
      </c>
      <c r="F48" s="444">
        <v>5218</v>
      </c>
      <c r="G48" s="444">
        <v>6773</v>
      </c>
      <c r="H48" s="444">
        <v>9008</v>
      </c>
      <c r="I48" s="444">
        <v>10526</v>
      </c>
      <c r="J48" s="442" t="s">
        <v>29</v>
      </c>
      <c r="K48" s="443">
        <f t="shared" si="6"/>
        <v>13.637476821887134</v>
      </c>
      <c r="L48" s="443">
        <f t="shared" si="6"/>
        <v>14.530771372876636</v>
      </c>
      <c r="M48" s="443">
        <f t="shared" si="6"/>
        <v>16.950722026178141</v>
      </c>
      <c r="N48" s="443">
        <f t="shared" si="6"/>
        <v>19.59538829671525</v>
      </c>
      <c r="O48" s="443">
        <f t="shared" si="6"/>
        <v>20.996569057687704</v>
      </c>
    </row>
    <row r="49" spans="1:15" x14ac:dyDescent="0.25">
      <c r="A49" s="414" t="s">
        <v>294</v>
      </c>
      <c r="B49" s="415"/>
      <c r="C49" s="416"/>
      <c r="D49" s="445"/>
      <c r="E49" s="434"/>
      <c r="F49" s="434"/>
      <c r="G49" s="434"/>
      <c r="H49" s="434"/>
      <c r="I49" s="434"/>
      <c r="J49" s="446"/>
      <c r="K49" s="435"/>
      <c r="L49" s="435"/>
      <c r="M49" s="435"/>
      <c r="N49" s="435"/>
      <c r="O49" s="435"/>
    </row>
    <row r="50" spans="1:15" x14ac:dyDescent="0.25">
      <c r="A50" s="420" t="s">
        <v>295</v>
      </c>
      <c r="B50" s="421"/>
      <c r="C50" s="422"/>
      <c r="D50" s="447" t="s">
        <v>29</v>
      </c>
      <c r="E50" s="423">
        <f t="shared" ref="E50:I50" si="7">SUM(E42:E48)</f>
        <v>28583</v>
      </c>
      <c r="F50" s="423">
        <f t="shared" si="7"/>
        <v>35910</v>
      </c>
      <c r="G50" s="423">
        <f t="shared" si="7"/>
        <v>39957</v>
      </c>
      <c r="H50" s="423">
        <f t="shared" si="7"/>
        <v>45970</v>
      </c>
      <c r="I50" s="423">
        <f t="shared" si="7"/>
        <v>50132</v>
      </c>
      <c r="J50" s="448" t="s">
        <v>29</v>
      </c>
      <c r="K50" s="449">
        <f t="shared" ref="K50:O50" si="8">SUM(K42:K48)</f>
        <v>99.999999999999986</v>
      </c>
      <c r="L50" s="449">
        <f t="shared" si="8"/>
        <v>100</v>
      </c>
      <c r="M50" s="449">
        <f t="shared" si="8"/>
        <v>100</v>
      </c>
      <c r="N50" s="449">
        <f t="shared" si="8"/>
        <v>100</v>
      </c>
      <c r="O50" s="449">
        <f t="shared" si="8"/>
        <v>100</v>
      </c>
    </row>
    <row r="52" spans="1:15" s="387" customFormat="1" ht="46.05" customHeight="1" x14ac:dyDescent="0.25">
      <c r="A52" s="378" t="s">
        <v>284</v>
      </c>
      <c r="B52" s="379"/>
      <c r="C52" s="425"/>
      <c r="D52" s="450" t="s">
        <v>301</v>
      </c>
      <c r="E52" s="450"/>
      <c r="F52" s="450"/>
      <c r="G52" s="450"/>
      <c r="H52" s="450"/>
      <c r="I52" s="450"/>
      <c r="J52" s="451" t="s">
        <v>302</v>
      </c>
      <c r="K52" s="452"/>
      <c r="L52" s="452"/>
      <c r="M52" s="452"/>
      <c r="N52" s="452"/>
      <c r="O52" s="453"/>
    </row>
    <row r="53" spans="1:15" x14ac:dyDescent="0.25">
      <c r="A53" s="388"/>
      <c r="B53" s="389"/>
      <c r="C53" s="390"/>
      <c r="D53" s="454" t="s">
        <v>288</v>
      </c>
      <c r="E53" s="455"/>
      <c r="F53" s="455"/>
      <c r="G53" s="455"/>
      <c r="H53" s="455"/>
      <c r="I53" s="456"/>
      <c r="J53" s="454" t="s">
        <v>288</v>
      </c>
      <c r="K53" s="455"/>
      <c r="L53" s="455"/>
      <c r="M53" s="455"/>
      <c r="N53" s="455"/>
      <c r="O53" s="456"/>
    </row>
    <row r="54" spans="1:15" x14ac:dyDescent="0.25">
      <c r="A54" s="397"/>
      <c r="B54" s="398"/>
      <c r="C54" s="399"/>
      <c r="D54" s="432">
        <v>1975</v>
      </c>
      <c r="E54" s="439">
        <v>1991</v>
      </c>
      <c r="F54" s="439">
        <v>2000</v>
      </c>
      <c r="G54" s="439">
        <v>2005</v>
      </c>
      <c r="H54" s="439">
        <v>2010</v>
      </c>
      <c r="I54" s="439">
        <v>2013</v>
      </c>
      <c r="J54" s="432">
        <v>1975</v>
      </c>
      <c r="K54" s="439">
        <v>1991</v>
      </c>
      <c r="L54" s="439">
        <v>2000</v>
      </c>
      <c r="M54" s="439">
        <v>2005</v>
      </c>
      <c r="N54" s="439">
        <v>2010</v>
      </c>
      <c r="O54" s="439">
        <v>2013</v>
      </c>
    </row>
    <row r="55" spans="1:15" x14ac:dyDescent="0.25">
      <c r="A55" s="403" t="s">
        <v>14</v>
      </c>
      <c r="B55" s="404"/>
      <c r="C55" s="150">
        <v>1</v>
      </c>
      <c r="D55" s="442" t="s">
        <v>29</v>
      </c>
      <c r="E55" s="457">
        <f t="shared" ref="E55:I61" si="9">(E28*1000)/(E42*1000)</f>
        <v>1206.0824707397901</v>
      </c>
      <c r="F55" s="457">
        <f t="shared" si="9"/>
        <v>1338.9935460669512</v>
      </c>
      <c r="G55" s="457">
        <f t="shared" si="9"/>
        <v>2436.1735576405708</v>
      </c>
      <c r="H55" s="457">
        <f t="shared" si="9"/>
        <v>3146.8306096943024</v>
      </c>
      <c r="I55" s="457">
        <f t="shared" si="9"/>
        <v>3550.6366025460743</v>
      </c>
      <c r="J55" s="442" t="s">
        <v>29</v>
      </c>
      <c r="K55" s="443">
        <f t="shared" ref="K55:O61" si="10">+E55/E$63</f>
        <v>0.40276535613641451</v>
      </c>
      <c r="L55" s="443">
        <f t="shared" si="10"/>
        <v>0.44285266533851247</v>
      </c>
      <c r="M55" s="443">
        <f t="shared" si="10"/>
        <v>0.54123140248343737</v>
      </c>
      <c r="N55" s="443">
        <f t="shared" si="10"/>
        <v>0.52721460734618142</v>
      </c>
      <c r="O55" s="443">
        <f t="shared" si="10"/>
        <v>0.55858189267978131</v>
      </c>
    </row>
    <row r="56" spans="1:15" x14ac:dyDescent="0.25">
      <c r="A56" s="407" t="s">
        <v>289</v>
      </c>
      <c r="B56" s="404"/>
      <c r="C56" s="150">
        <v>2</v>
      </c>
      <c r="D56" s="442" t="s">
        <v>29</v>
      </c>
      <c r="E56" s="457">
        <f t="shared" si="9"/>
        <v>136572.70703678014</v>
      </c>
      <c r="F56" s="457">
        <f t="shared" si="9"/>
        <v>124845.20861264256</v>
      </c>
      <c r="G56" s="457">
        <f t="shared" si="9"/>
        <v>106699.19554012643</v>
      </c>
      <c r="H56" s="457">
        <f t="shared" si="9"/>
        <v>36084.700465056856</v>
      </c>
      <c r="I56" s="457">
        <f t="shared" si="9"/>
        <v>21661.709051109545</v>
      </c>
      <c r="J56" s="442" t="s">
        <v>29</v>
      </c>
      <c r="K56" s="443">
        <f t="shared" si="10"/>
        <v>45.607789121122678</v>
      </c>
      <c r="L56" s="443">
        <f t="shared" si="10"/>
        <v>41.290739265510176</v>
      </c>
      <c r="M56" s="443">
        <f t="shared" si="10"/>
        <v>23.704778776913951</v>
      </c>
      <c r="N56" s="443">
        <f t="shared" si="10"/>
        <v>6.0455688743721847</v>
      </c>
      <c r="O56" s="443">
        <f t="shared" si="10"/>
        <v>3.4077940929722357</v>
      </c>
    </row>
    <row r="57" spans="1:15" x14ac:dyDescent="0.25">
      <c r="A57" s="407" t="s">
        <v>20</v>
      </c>
      <c r="B57" s="404"/>
      <c r="C57" s="150">
        <v>3</v>
      </c>
      <c r="D57" s="442" t="s">
        <v>29</v>
      </c>
      <c r="E57" s="457">
        <f t="shared" si="9"/>
        <v>2396.3476377465963</v>
      </c>
      <c r="F57" s="457">
        <f t="shared" si="9"/>
        <v>1772.2821264397116</v>
      </c>
      <c r="G57" s="457">
        <f t="shared" si="9"/>
        <v>3389.4817180424734</v>
      </c>
      <c r="H57" s="457">
        <f t="shared" si="9"/>
        <v>5579.2526933879808</v>
      </c>
      <c r="I57" s="457">
        <f t="shared" si="9"/>
        <v>7503.7918044566404</v>
      </c>
      <c r="J57" s="442" t="s">
        <v>29</v>
      </c>
      <c r="K57" s="443">
        <f t="shared" si="10"/>
        <v>0.80024860087026017</v>
      </c>
      <c r="L57" s="443">
        <f t="shared" si="10"/>
        <v>0.58615656941067062</v>
      </c>
      <c r="M57" s="443">
        <f t="shared" si="10"/>
        <v>0.75302268107893044</v>
      </c>
      <c r="N57" s="443">
        <f t="shared" si="10"/>
        <v>0.93473843459130979</v>
      </c>
      <c r="O57" s="443">
        <f t="shared" si="10"/>
        <v>1.1804875287442294</v>
      </c>
    </row>
    <row r="58" spans="1:15" x14ac:dyDescent="0.25">
      <c r="A58" s="407" t="s">
        <v>22</v>
      </c>
      <c r="B58" s="404"/>
      <c r="C58" s="150">
        <v>4</v>
      </c>
      <c r="D58" s="442" t="s">
        <v>29</v>
      </c>
      <c r="E58" s="457">
        <f t="shared" si="9"/>
        <v>7852.3845761783896</v>
      </c>
      <c r="F58" s="457">
        <f t="shared" si="9"/>
        <v>8420.1912931525912</v>
      </c>
      <c r="G58" s="457">
        <f t="shared" si="9"/>
        <v>8372.038249809857</v>
      </c>
      <c r="H58" s="457">
        <f t="shared" si="9"/>
        <v>11316.532629585541</v>
      </c>
      <c r="I58" s="457">
        <f t="shared" si="9"/>
        <v>14593.208852458531</v>
      </c>
      <c r="J58" s="442" t="s">
        <v>29</v>
      </c>
      <c r="K58" s="443">
        <f t="shared" si="10"/>
        <v>2.6222655142352345</v>
      </c>
      <c r="L58" s="443">
        <f t="shared" si="10"/>
        <v>2.7848559597510647</v>
      </c>
      <c r="M58" s="443">
        <f t="shared" si="10"/>
        <v>1.8599701114800866</v>
      </c>
      <c r="N58" s="443">
        <f t="shared" si="10"/>
        <v>1.8959524826176706</v>
      </c>
      <c r="O58" s="443">
        <f t="shared" si="10"/>
        <v>2.2957861176872854</v>
      </c>
    </row>
    <row r="59" spans="1:15" x14ac:dyDescent="0.25">
      <c r="A59" s="407" t="s">
        <v>290</v>
      </c>
      <c r="B59" s="404"/>
      <c r="C59" s="150">
        <v>5</v>
      </c>
      <c r="D59" s="442" t="s">
        <v>29</v>
      </c>
      <c r="E59" s="457">
        <f t="shared" si="9"/>
        <v>2497.9670722305368</v>
      </c>
      <c r="F59" s="457">
        <f t="shared" si="9"/>
        <v>2216.8996822682493</v>
      </c>
      <c r="G59" s="457">
        <f t="shared" si="9"/>
        <v>3405.9389613479921</v>
      </c>
      <c r="H59" s="457">
        <f t="shared" si="9"/>
        <v>5331.8210363436629</v>
      </c>
      <c r="I59" s="457">
        <f t="shared" si="9"/>
        <v>5602.6821164656003</v>
      </c>
      <c r="J59" s="442" t="s">
        <v>29</v>
      </c>
      <c r="K59" s="443">
        <f t="shared" si="10"/>
        <v>0.83418391517360158</v>
      </c>
      <c r="L59" s="443">
        <f t="shared" si="10"/>
        <v>0.73320736755179738</v>
      </c>
      <c r="M59" s="443">
        <f t="shared" si="10"/>
        <v>0.75667889713435943</v>
      </c>
      <c r="N59" s="443">
        <f t="shared" si="10"/>
        <v>0.89328415881562462</v>
      </c>
      <c r="O59" s="443">
        <f t="shared" si="10"/>
        <v>0.88140723228459639</v>
      </c>
    </row>
    <row r="60" spans="1:15" x14ac:dyDescent="0.25">
      <c r="A60" s="407" t="s">
        <v>291</v>
      </c>
      <c r="B60" s="404"/>
      <c r="C60" s="150">
        <v>6</v>
      </c>
      <c r="D60" s="442" t="s">
        <v>29</v>
      </c>
      <c r="E60" s="457">
        <f t="shared" si="9"/>
        <v>8989.768266017767</v>
      </c>
      <c r="F60" s="457">
        <f t="shared" si="9"/>
        <v>8867.1358526565928</v>
      </c>
      <c r="G60" s="457">
        <f t="shared" si="9"/>
        <v>17966.075547128545</v>
      </c>
      <c r="H60" s="457">
        <f t="shared" si="9"/>
        <v>29871.774589044046</v>
      </c>
      <c r="I60" s="457">
        <f t="shared" si="9"/>
        <v>28916.251136744479</v>
      </c>
      <c r="J60" s="442" t="s">
        <v>29</v>
      </c>
      <c r="K60" s="443">
        <f t="shared" si="10"/>
        <v>3.0020892476992622</v>
      </c>
      <c r="L60" s="443">
        <f t="shared" si="10"/>
        <v>2.9326763805561384</v>
      </c>
      <c r="M60" s="443">
        <f t="shared" si="10"/>
        <v>3.9914250916150888</v>
      </c>
      <c r="N60" s="443">
        <f t="shared" si="10"/>
        <v>5.004665920745702</v>
      </c>
      <c r="O60" s="443">
        <f t="shared" si="10"/>
        <v>4.5490699548312934</v>
      </c>
    </row>
    <row r="61" spans="1:15" x14ac:dyDescent="0.25">
      <c r="A61" s="407" t="s">
        <v>292</v>
      </c>
      <c r="B61" s="404"/>
      <c r="C61" s="150">
        <v>7</v>
      </c>
      <c r="D61" s="442" t="s">
        <v>29</v>
      </c>
      <c r="E61" s="457">
        <f t="shared" si="9"/>
        <v>5197.6089870465585</v>
      </c>
      <c r="F61" s="457">
        <f t="shared" si="9"/>
        <v>5547.4912873323547</v>
      </c>
      <c r="G61" s="457">
        <f t="shared" si="9"/>
        <v>5781.4832704898054</v>
      </c>
      <c r="H61" s="457">
        <f t="shared" si="9"/>
        <v>6021.4962535395553</v>
      </c>
      <c r="I61" s="457">
        <f t="shared" si="9"/>
        <v>6149.8517430095962</v>
      </c>
      <c r="J61" s="442" t="s">
        <v>29</v>
      </c>
      <c r="K61" s="443">
        <f t="shared" si="10"/>
        <v>1.7357161599750059</v>
      </c>
      <c r="L61" s="443">
        <f t="shared" si="10"/>
        <v>1.8347521612434046</v>
      </c>
      <c r="M61" s="443">
        <f t="shared" si="10"/>
        <v>1.2844406299000612</v>
      </c>
      <c r="N61" s="443">
        <f t="shared" si="10"/>
        <v>1.0088311627471922</v>
      </c>
      <c r="O61" s="443">
        <f t="shared" si="10"/>
        <v>0.96748730181147169</v>
      </c>
    </row>
    <row r="62" spans="1:15" s="460" customFormat="1" x14ac:dyDescent="0.25">
      <c r="A62" s="414" t="s">
        <v>294</v>
      </c>
      <c r="B62" s="415"/>
      <c r="C62" s="416"/>
      <c r="D62" s="446"/>
      <c r="E62" s="458"/>
      <c r="F62" s="458"/>
      <c r="G62" s="458"/>
      <c r="H62" s="458"/>
      <c r="I62" s="458"/>
      <c r="J62" s="446"/>
      <c r="K62" s="459"/>
      <c r="L62" s="459"/>
      <c r="M62" s="459"/>
      <c r="N62" s="459"/>
      <c r="O62" s="459"/>
    </row>
    <row r="63" spans="1:15" s="460" customFormat="1" x14ac:dyDescent="0.25">
      <c r="A63" s="420" t="s">
        <v>295</v>
      </c>
      <c r="B63" s="421"/>
      <c r="C63" s="422"/>
      <c r="D63" s="448" t="s">
        <v>29</v>
      </c>
      <c r="E63" s="461">
        <f>(E37*1000)/(E50*1000)</f>
        <v>2994.5040018071868</v>
      </c>
      <c r="F63" s="461">
        <f>(F37*1000)/(F50*1000)</f>
        <v>3023.5643835256969</v>
      </c>
      <c r="G63" s="461">
        <f>(G37*1000)/(G50*1000)</f>
        <v>4501.1681629377035</v>
      </c>
      <c r="H63" s="461">
        <f>(H37*1000)/(H50*1000)</f>
        <v>5968.7849423110165</v>
      </c>
      <c r="I63" s="461">
        <f>(I37*1000)/(I50*1000)</f>
        <v>6356.5193377679907</v>
      </c>
      <c r="J63" s="448" t="s">
        <v>29</v>
      </c>
      <c r="K63" s="462">
        <f>+E63/E$63</f>
        <v>1</v>
      </c>
      <c r="L63" s="462">
        <f>+F63/F$63</f>
        <v>1</v>
      </c>
      <c r="M63" s="462">
        <f>+G63/G$63</f>
        <v>1</v>
      </c>
      <c r="N63" s="462">
        <f>+H63/H$63</f>
        <v>1</v>
      </c>
      <c r="O63" s="462">
        <f>+I63/I$63</f>
        <v>1</v>
      </c>
    </row>
    <row r="64" spans="1:15" x14ac:dyDescent="0.25">
      <c r="A64" s="463"/>
      <c r="B64" s="463"/>
      <c r="C64" s="463"/>
      <c r="D64" s="464"/>
      <c r="E64" s="465"/>
      <c r="F64" s="465"/>
      <c r="G64" s="465"/>
      <c r="H64" s="465"/>
      <c r="I64" s="465"/>
      <c r="J64" s="464"/>
      <c r="K64" s="466"/>
      <c r="L64" s="466"/>
      <c r="M64" s="466"/>
      <c r="N64" s="466"/>
      <c r="O64" s="466"/>
    </row>
    <row r="65" spans="1:15" x14ac:dyDescent="0.25">
      <c r="D65" s="467"/>
      <c r="E65" s="467"/>
      <c r="F65" s="467"/>
      <c r="G65" s="467"/>
      <c r="H65" s="467"/>
      <c r="J65" s="468">
        <v>22</v>
      </c>
      <c r="K65" s="468">
        <v>9</v>
      </c>
      <c r="L65" s="468">
        <v>5</v>
      </c>
      <c r="M65" s="468">
        <v>5</v>
      </c>
      <c r="N65" s="468">
        <v>3</v>
      </c>
      <c r="O65" s="469" t="s">
        <v>303</v>
      </c>
    </row>
    <row r="66" spans="1:15" s="387" customFormat="1" ht="28.05" customHeight="1" x14ac:dyDescent="0.25">
      <c r="A66" s="378" t="s">
        <v>284</v>
      </c>
      <c r="B66" s="379"/>
      <c r="C66" s="425"/>
      <c r="D66" s="470" t="s">
        <v>304</v>
      </c>
      <c r="E66" s="470"/>
      <c r="F66" s="470"/>
      <c r="G66" s="470"/>
      <c r="H66" s="470"/>
      <c r="I66" s="470"/>
      <c r="J66" s="471" t="s">
        <v>305</v>
      </c>
      <c r="K66" s="472"/>
      <c r="L66" s="472"/>
      <c r="M66" s="472"/>
      <c r="N66" s="473"/>
    </row>
    <row r="67" spans="1:15" x14ac:dyDescent="0.25">
      <c r="A67" s="388"/>
      <c r="B67" s="389"/>
      <c r="C67" s="474"/>
      <c r="D67" s="475" t="s">
        <v>288</v>
      </c>
      <c r="E67" s="475"/>
      <c r="F67" s="475"/>
      <c r="G67" s="475"/>
      <c r="H67" s="475"/>
      <c r="I67" s="475"/>
      <c r="J67" s="475" t="s">
        <v>288</v>
      </c>
      <c r="K67" s="475"/>
      <c r="L67" s="475"/>
      <c r="M67" s="475"/>
      <c r="N67" s="475"/>
    </row>
    <row r="68" spans="1:15" ht="24" x14ac:dyDescent="0.25">
      <c r="A68" s="397"/>
      <c r="B68" s="398"/>
      <c r="C68" s="399"/>
      <c r="D68" s="399"/>
      <c r="E68" s="439">
        <v>1991</v>
      </c>
      <c r="F68" s="439">
        <v>2000</v>
      </c>
      <c r="G68" s="439">
        <v>2005</v>
      </c>
      <c r="H68" s="439">
        <v>2010</v>
      </c>
      <c r="I68" s="439">
        <v>2013</v>
      </c>
      <c r="J68" s="476" t="s">
        <v>306</v>
      </c>
      <c r="K68" s="476" t="s">
        <v>307</v>
      </c>
      <c r="L68" s="476" t="s">
        <v>12</v>
      </c>
      <c r="M68" s="476" t="s">
        <v>13</v>
      </c>
      <c r="N68" s="476" t="s">
        <v>308</v>
      </c>
    </row>
    <row r="69" spans="1:15" x14ac:dyDescent="0.25">
      <c r="A69" s="403" t="s">
        <v>14</v>
      </c>
      <c r="B69" s="404"/>
      <c r="C69" s="150">
        <v>1</v>
      </c>
      <c r="D69" s="477"/>
      <c r="E69" s="478">
        <f t="shared" ref="E69:I75" si="11">(E55/$E55)*100</f>
        <v>100</v>
      </c>
      <c r="F69" s="479">
        <f t="shared" si="11"/>
        <v>111.02006525686721</v>
      </c>
      <c r="G69" s="479">
        <f t="shared" si="11"/>
        <v>201.99062806594515</v>
      </c>
      <c r="H69" s="479">
        <f t="shared" si="11"/>
        <v>260.91338577900819</v>
      </c>
      <c r="I69" s="479">
        <f t="shared" si="11"/>
        <v>294.39418022286446</v>
      </c>
      <c r="J69" s="480">
        <f t="shared" ref="J69:J75" si="12">EXP(LN(I55/E55)/J$65)-1</f>
        <v>5.0303867220383047E-2</v>
      </c>
      <c r="K69" s="480">
        <f t="shared" ref="K69:N75" si="13">EXP(LN(F55/E55)/K$65)-1</f>
        <v>1.1683364304049926E-2</v>
      </c>
      <c r="L69" s="480">
        <f t="shared" si="13"/>
        <v>0.12716098592608227</v>
      </c>
      <c r="M69" s="480">
        <f t="shared" si="13"/>
        <v>5.2526473551787412E-2</v>
      </c>
      <c r="N69" s="480">
        <f t="shared" si="13"/>
        <v>4.1064458113852176E-2</v>
      </c>
    </row>
    <row r="70" spans="1:15" x14ac:dyDescent="0.25">
      <c r="A70" s="407" t="s">
        <v>289</v>
      </c>
      <c r="B70" s="404"/>
      <c r="C70" s="150">
        <v>2</v>
      </c>
      <c r="D70" s="477"/>
      <c r="E70" s="478">
        <f t="shared" si="11"/>
        <v>100</v>
      </c>
      <c r="F70" s="479">
        <f t="shared" si="11"/>
        <v>91.412999948094125</v>
      </c>
      <c r="G70" s="479">
        <f t="shared" si="11"/>
        <v>78.126294671300229</v>
      </c>
      <c r="H70" s="479">
        <f t="shared" si="11"/>
        <v>26.421604468408873</v>
      </c>
      <c r="I70" s="479">
        <f t="shared" si="11"/>
        <v>15.860935556674491</v>
      </c>
      <c r="J70" s="480">
        <f t="shared" si="12"/>
        <v>-8.0289151801263836E-2</v>
      </c>
      <c r="K70" s="480">
        <f t="shared" si="13"/>
        <v>-9.9262382461489107E-3</v>
      </c>
      <c r="L70" s="480">
        <f t="shared" si="13"/>
        <v>-3.0923966284268301E-2</v>
      </c>
      <c r="M70" s="480">
        <f t="shared" si="13"/>
        <v>-0.19493232005358785</v>
      </c>
      <c r="N70" s="480">
        <f t="shared" si="13"/>
        <v>-0.15642596350540594</v>
      </c>
    </row>
    <row r="71" spans="1:15" x14ac:dyDescent="0.25">
      <c r="A71" s="407" t="s">
        <v>20</v>
      </c>
      <c r="B71" s="404"/>
      <c r="C71" s="150">
        <v>3</v>
      </c>
      <c r="D71" s="477"/>
      <c r="E71" s="478">
        <f t="shared" si="11"/>
        <v>100</v>
      </c>
      <c r="F71" s="479">
        <f t="shared" si="11"/>
        <v>73.957638638201757</v>
      </c>
      <c r="G71" s="479">
        <f t="shared" si="11"/>
        <v>141.44365636489078</v>
      </c>
      <c r="H71" s="479">
        <f t="shared" si="11"/>
        <v>232.82317663368852</v>
      </c>
      <c r="I71" s="479">
        <f t="shared" si="11"/>
        <v>313.13452548616129</v>
      </c>
      <c r="J71" s="480">
        <f t="shared" si="12"/>
        <v>5.3254262071348091E-2</v>
      </c>
      <c r="K71" s="480">
        <f t="shared" si="13"/>
        <v>-3.296418335132334E-2</v>
      </c>
      <c r="L71" s="480">
        <f t="shared" si="13"/>
        <v>0.13846605919930788</v>
      </c>
      <c r="M71" s="480">
        <f t="shared" si="13"/>
        <v>0.10481241841344602</v>
      </c>
      <c r="N71" s="480">
        <f t="shared" si="13"/>
        <v>0.10382844497327981</v>
      </c>
    </row>
    <row r="72" spans="1:15" x14ac:dyDescent="0.25">
      <c r="A72" s="407" t="s">
        <v>22</v>
      </c>
      <c r="B72" s="404"/>
      <c r="C72" s="150">
        <v>4</v>
      </c>
      <c r="D72" s="477"/>
      <c r="E72" s="478">
        <f t="shared" si="11"/>
        <v>100</v>
      </c>
      <c r="F72" s="479">
        <f t="shared" si="11"/>
        <v>107.23101003861611</v>
      </c>
      <c r="G72" s="479">
        <f t="shared" si="11"/>
        <v>106.61778175266568</v>
      </c>
      <c r="H72" s="479">
        <f t="shared" si="11"/>
        <v>144.11587358974066</v>
      </c>
      <c r="I72" s="479">
        <f t="shared" si="11"/>
        <v>185.84429622473706</v>
      </c>
      <c r="J72" s="480">
        <f t="shared" si="12"/>
        <v>2.8570480734332548E-2</v>
      </c>
      <c r="K72" s="480">
        <f t="shared" si="13"/>
        <v>7.7874202918692959E-3</v>
      </c>
      <c r="L72" s="480">
        <f t="shared" si="13"/>
        <v>-1.146377116444941E-3</v>
      </c>
      <c r="M72" s="480">
        <f t="shared" si="13"/>
        <v>6.2126966205070078E-2</v>
      </c>
      <c r="N72" s="480">
        <f t="shared" si="13"/>
        <v>8.8459997374376043E-2</v>
      </c>
    </row>
    <row r="73" spans="1:15" x14ac:dyDescent="0.25">
      <c r="A73" s="407" t="s">
        <v>290</v>
      </c>
      <c r="B73" s="404"/>
      <c r="C73" s="150">
        <v>5</v>
      </c>
      <c r="D73" s="477"/>
      <c r="E73" s="478">
        <f t="shared" si="11"/>
        <v>100</v>
      </c>
      <c r="F73" s="479">
        <f t="shared" si="11"/>
        <v>88.748154726022435</v>
      </c>
      <c r="G73" s="479">
        <f t="shared" si="11"/>
        <v>136.34843306027608</v>
      </c>
      <c r="H73" s="479">
        <f t="shared" si="11"/>
        <v>213.44640990734365</v>
      </c>
      <c r="I73" s="479">
        <f t="shared" si="11"/>
        <v>224.28967053848058</v>
      </c>
      <c r="J73" s="480">
        <f t="shared" si="12"/>
        <v>3.7399121884339914E-2</v>
      </c>
      <c r="K73" s="480">
        <f t="shared" si="13"/>
        <v>-1.3175494241965291E-2</v>
      </c>
      <c r="L73" s="480">
        <f t="shared" si="13"/>
        <v>8.9677952510725412E-2</v>
      </c>
      <c r="M73" s="480">
        <f t="shared" si="13"/>
        <v>9.3774365317468522E-2</v>
      </c>
      <c r="N73" s="480">
        <f t="shared" si="13"/>
        <v>1.6654700204457473E-2</v>
      </c>
    </row>
    <row r="74" spans="1:15" x14ac:dyDescent="0.25">
      <c r="A74" s="407" t="s">
        <v>291</v>
      </c>
      <c r="B74" s="404"/>
      <c r="C74" s="150">
        <v>6</v>
      </c>
      <c r="D74" s="477"/>
      <c r="E74" s="478">
        <f t="shared" si="11"/>
        <v>100</v>
      </c>
      <c r="F74" s="479">
        <f t="shared" si="11"/>
        <v>98.635866801764664</v>
      </c>
      <c r="G74" s="479">
        <f t="shared" si="11"/>
        <v>199.85026327143635</v>
      </c>
      <c r="H74" s="479">
        <f t="shared" si="11"/>
        <v>332.28636940467504</v>
      </c>
      <c r="I74" s="479">
        <f t="shared" si="11"/>
        <v>321.65735846663404</v>
      </c>
      <c r="J74" s="480">
        <f t="shared" si="12"/>
        <v>5.4540686666127325E-2</v>
      </c>
      <c r="K74" s="480">
        <f t="shared" si="13"/>
        <v>-1.5249726964755572E-3</v>
      </c>
      <c r="L74" s="480">
        <f t="shared" si="13"/>
        <v>0.15168569318943703</v>
      </c>
      <c r="M74" s="480">
        <f t="shared" si="13"/>
        <v>0.10703553182532999</v>
      </c>
      <c r="N74" s="480">
        <f t="shared" si="13"/>
        <v>-1.0778254087416617E-2</v>
      </c>
    </row>
    <row r="75" spans="1:15" x14ac:dyDescent="0.25">
      <c r="A75" s="407" t="s">
        <v>292</v>
      </c>
      <c r="B75" s="404"/>
      <c r="C75" s="150">
        <v>7</v>
      </c>
      <c r="D75" s="477"/>
      <c r="E75" s="478">
        <f t="shared" si="11"/>
        <v>100</v>
      </c>
      <c r="F75" s="479">
        <f t="shared" si="11"/>
        <v>106.73160103343228</v>
      </c>
      <c r="G75" s="479">
        <f t="shared" si="11"/>
        <v>111.23351689013879</v>
      </c>
      <c r="H75" s="479">
        <f t="shared" si="11"/>
        <v>115.85127447151724</v>
      </c>
      <c r="I75" s="479">
        <f t="shared" si="11"/>
        <v>118.32078477500347</v>
      </c>
      <c r="J75" s="480">
        <f t="shared" si="12"/>
        <v>7.6760960981234749E-3</v>
      </c>
      <c r="K75" s="480">
        <f t="shared" si="13"/>
        <v>7.2648279262725879E-3</v>
      </c>
      <c r="L75" s="480">
        <f t="shared" si="13"/>
        <v>8.2971250592107637E-3</v>
      </c>
      <c r="M75" s="480">
        <f t="shared" si="13"/>
        <v>8.1682807628125076E-3</v>
      </c>
      <c r="N75" s="480">
        <f t="shared" si="13"/>
        <v>7.055506682708268E-3</v>
      </c>
    </row>
    <row r="76" spans="1:15" s="460" customFormat="1" x14ac:dyDescent="0.25">
      <c r="A76" s="414" t="s">
        <v>294</v>
      </c>
      <c r="B76" s="415"/>
      <c r="C76" s="416"/>
      <c r="D76" s="481"/>
      <c r="E76" s="482"/>
      <c r="F76" s="459"/>
      <c r="G76" s="459"/>
      <c r="H76" s="459"/>
      <c r="I76" s="459"/>
      <c r="J76" s="482"/>
      <c r="K76" s="483"/>
      <c r="L76" s="483"/>
      <c r="M76" s="483"/>
      <c r="N76" s="483"/>
    </row>
    <row r="77" spans="1:15" s="460" customFormat="1" x14ac:dyDescent="0.25">
      <c r="A77" s="420" t="s">
        <v>295</v>
      </c>
      <c r="B77" s="421"/>
      <c r="C77" s="422"/>
      <c r="D77" s="484"/>
      <c r="E77" s="485">
        <f>(E63/$E63)*100</f>
        <v>100</v>
      </c>
      <c r="F77" s="486">
        <f>(F63/$E63)*100</f>
        <v>100.97045726774692</v>
      </c>
      <c r="G77" s="486">
        <f>(G63/$E63)*100</f>
        <v>150.31431449820215</v>
      </c>
      <c r="H77" s="486">
        <f>(H63/$E63)*100</f>
        <v>199.32466073542889</v>
      </c>
      <c r="I77" s="486">
        <f>(I63/$E63)*100</f>
        <v>212.27286168032583</v>
      </c>
      <c r="J77" s="487">
        <f>EXP(LN(I63/E63)/J$65)-1</f>
        <v>3.4805765509889675E-2</v>
      </c>
      <c r="K77" s="487">
        <f>EXP(LN(F63/E63)/K$65)-1</f>
        <v>1.073663271573988E-3</v>
      </c>
      <c r="L77" s="487">
        <f>EXP(LN(G63/F63)/L$65)-1</f>
        <v>8.2832303911601679E-2</v>
      </c>
      <c r="M77" s="487">
        <f>EXP(LN(H63/G63)/M$65)-1</f>
        <v>5.8064488632493694E-2</v>
      </c>
      <c r="N77" s="487">
        <f>EXP(LN(I63/H63)/N$65)-1</f>
        <v>2.1200801646610978E-2</v>
      </c>
    </row>
    <row r="78" spans="1:15" x14ac:dyDescent="0.25">
      <c r="I78" s="375" t="s">
        <v>309</v>
      </c>
      <c r="J78" s="488">
        <f>+I63-J101</f>
        <v>0</v>
      </c>
      <c r="K78" s="488">
        <f>+F63-K88</f>
        <v>0</v>
      </c>
      <c r="L78" s="488">
        <f>+G63-L93</f>
        <v>0</v>
      </c>
      <c r="M78" s="488">
        <f>+H63-M98</f>
        <v>0</v>
      </c>
      <c r="N78" s="488">
        <f>+I63-N101</f>
        <v>0</v>
      </c>
    </row>
    <row r="79" spans="1:15" hidden="1" x14ac:dyDescent="0.25">
      <c r="I79" s="373">
        <v>1991</v>
      </c>
      <c r="J79" s="373"/>
      <c r="K79" s="373"/>
      <c r="L79" s="374"/>
      <c r="M79" s="373"/>
      <c r="N79" s="373"/>
    </row>
    <row r="80" spans="1:15" hidden="1" x14ac:dyDescent="0.25">
      <c r="I80" s="373">
        <f>+I79+1</f>
        <v>1992</v>
      </c>
      <c r="J80" s="489">
        <f>+E63*(1+J77)</f>
        <v>3098.7300059125141</v>
      </c>
      <c r="K80" s="489">
        <f>+E63*(1+K77)</f>
        <v>2997.7190907705085</v>
      </c>
      <c r="L80" s="374"/>
      <c r="M80" s="373"/>
      <c r="N80" s="373"/>
    </row>
    <row r="81" spans="9:14" hidden="1" x14ac:dyDescent="0.25">
      <c r="I81" s="373">
        <f t="shared" ref="I81:I101" si="14">+I80+1</f>
        <v>1993</v>
      </c>
      <c r="J81" s="489">
        <f>+J80*(1+$J$77)</f>
        <v>3206.5836758767641</v>
      </c>
      <c r="K81" s="489">
        <f>+K80*(1+$K$77)</f>
        <v>3000.937631656765</v>
      </c>
      <c r="L81" s="374"/>
      <c r="M81" s="373"/>
      <c r="N81" s="373"/>
    </row>
    <row r="82" spans="9:14" hidden="1" x14ac:dyDescent="0.25">
      <c r="I82" s="373">
        <f t="shared" si="14"/>
        <v>1994</v>
      </c>
      <c r="J82" s="489">
        <f t="shared" ref="J82:J101" si="15">+J81*(1+$J$77)</f>
        <v>3318.1912753871707</v>
      </c>
      <c r="K82" s="489">
        <f t="shared" ref="K82:K88" si="16">+K81*(1+$K$77)</f>
        <v>3004.159628172159</v>
      </c>
      <c r="L82" s="374"/>
      <c r="M82" s="373"/>
      <c r="N82" s="373"/>
    </row>
    <row r="83" spans="9:14" hidden="1" x14ac:dyDescent="0.25">
      <c r="I83" s="373">
        <f t="shared" si="14"/>
        <v>1995</v>
      </c>
      <c r="J83" s="489">
        <f t="shared" si="15"/>
        <v>3433.6834628352581</v>
      </c>
      <c r="K83" s="489">
        <f t="shared" si="16"/>
        <v>3007.3850840268728</v>
      </c>
      <c r="L83" s="374"/>
      <c r="M83" s="373"/>
      <c r="N83" s="373"/>
    </row>
    <row r="84" spans="9:14" hidden="1" x14ac:dyDescent="0.25">
      <c r="I84" s="373">
        <f t="shared" si="14"/>
        <v>1996</v>
      </c>
      <c r="J84" s="489">
        <f t="shared" si="15"/>
        <v>3553.1954442778879</v>
      </c>
      <c r="K84" s="489">
        <f t="shared" si="16"/>
        <v>3010.6140029350718</v>
      </c>
      <c r="L84" s="374"/>
      <c r="M84" s="373"/>
      <c r="N84" s="373"/>
    </row>
    <row r="85" spans="9:14" hidden="1" x14ac:dyDescent="0.25">
      <c r="I85" s="373">
        <f t="shared" si="14"/>
        <v>1997</v>
      </c>
      <c r="J85" s="489">
        <f t="shared" si="15"/>
        <v>3676.8671317222324</v>
      </c>
      <c r="K85" s="489">
        <f t="shared" si="16"/>
        <v>3013.8463886149093</v>
      </c>
      <c r="L85" s="374"/>
      <c r="M85" s="373"/>
      <c r="N85" s="373"/>
    </row>
    <row r="86" spans="9:14" hidden="1" x14ac:dyDescent="0.25">
      <c r="I86" s="373">
        <f t="shared" si="14"/>
        <v>1998</v>
      </c>
      <c r="J86" s="489">
        <f t="shared" si="15"/>
        <v>3804.8433069199773</v>
      </c>
      <c r="K86" s="489">
        <f t="shared" si="16"/>
        <v>3017.0822447885312</v>
      </c>
      <c r="L86" s="374"/>
      <c r="M86" s="373"/>
      <c r="N86" s="373"/>
    </row>
    <row r="87" spans="9:14" hidden="1" x14ac:dyDescent="0.25">
      <c r="I87" s="373">
        <f t="shared" si="14"/>
        <v>1999</v>
      </c>
      <c r="J87" s="489">
        <f t="shared" si="15"/>
        <v>3937.2737908625072</v>
      </c>
      <c r="K87" s="489">
        <f t="shared" si="16"/>
        <v>3020.3215751820785</v>
      </c>
      <c r="L87" s="374"/>
      <c r="M87" s="373"/>
      <c r="N87" s="373"/>
    </row>
    <row r="88" spans="9:14" hidden="1" x14ac:dyDescent="0.25">
      <c r="I88" s="373">
        <f t="shared" si="14"/>
        <v>2000</v>
      </c>
      <c r="J88" s="489">
        <f t="shared" si="15"/>
        <v>4074.313619175502</v>
      </c>
      <c r="K88" s="489">
        <f t="shared" si="16"/>
        <v>3023.5643835256942</v>
      </c>
      <c r="L88" s="488"/>
      <c r="M88" s="373"/>
      <c r="N88" s="373"/>
    </row>
    <row r="89" spans="9:14" hidden="1" x14ac:dyDescent="0.25">
      <c r="I89" s="373">
        <f t="shared" si="14"/>
        <v>2001</v>
      </c>
      <c r="J89" s="489">
        <f t="shared" si="15"/>
        <v>4216.1232236182741</v>
      </c>
      <c r="K89" s="373"/>
      <c r="L89" s="489">
        <f>+F63*(1+L77)</f>
        <v>3274.0131874381918</v>
      </c>
      <c r="M89" s="373"/>
      <c r="N89" s="373"/>
    </row>
    <row r="90" spans="9:14" hidden="1" x14ac:dyDescent="0.25">
      <c r="I90" s="373">
        <f t="shared" si="14"/>
        <v>2002</v>
      </c>
      <c r="J90" s="489">
        <f t="shared" si="15"/>
        <v>4362.8686199003323</v>
      </c>
      <c r="K90" s="373"/>
      <c r="L90" s="489">
        <f>+L89*(1+$L$77)</f>
        <v>3545.2072427906637</v>
      </c>
      <c r="M90" s="373"/>
      <c r="N90" s="373"/>
    </row>
    <row r="91" spans="9:14" hidden="1" x14ac:dyDescent="0.25">
      <c r="I91" s="373">
        <f t="shared" si="14"/>
        <v>2003</v>
      </c>
      <c r="J91" s="489">
        <f t="shared" si="15"/>
        <v>4514.7216020350388</v>
      </c>
      <c r="K91" s="373"/>
      <c r="L91" s="489">
        <f>+L90*(1+$L$77)</f>
        <v>3838.8649265551112</v>
      </c>
      <c r="M91" s="373"/>
      <c r="N91" s="373"/>
    </row>
    <row r="92" spans="9:14" hidden="1" x14ac:dyDescent="0.25">
      <c r="I92" s="373">
        <f t="shared" si="14"/>
        <v>2004</v>
      </c>
      <c r="J92" s="489">
        <f t="shared" si="15"/>
        <v>4671.8599434579037</v>
      </c>
      <c r="K92" s="373"/>
      <c r="L92" s="489">
        <f>+L91*(1+$L$77)</f>
        <v>4156.8469528271125</v>
      </c>
      <c r="M92" s="373"/>
      <c r="N92" s="373"/>
    </row>
    <row r="93" spans="9:14" hidden="1" x14ac:dyDescent="0.25">
      <c r="I93" s="373">
        <f t="shared" si="14"/>
        <v>2005</v>
      </c>
      <c r="J93" s="489">
        <f t="shared" si="15"/>
        <v>4834.467605144946</v>
      </c>
      <c r="K93" s="373"/>
      <c r="L93" s="489">
        <f>+L92*(1+$L$77)</f>
        <v>4501.1681629377035</v>
      </c>
      <c r="M93" s="488"/>
      <c r="N93" s="373"/>
    </row>
    <row r="94" spans="9:14" hidden="1" x14ac:dyDescent="0.25">
      <c r="I94" s="373">
        <f t="shared" si="14"/>
        <v>2006</v>
      </c>
      <c r="J94" s="489">
        <f t="shared" si="15"/>
        <v>5002.7349509747792</v>
      </c>
      <c r="K94" s="373"/>
      <c r="L94" s="374"/>
      <c r="M94" s="489">
        <f>+G63*(1+M77)</f>
        <v>4762.5261905675425</v>
      </c>
      <c r="N94" s="489"/>
    </row>
    <row r="95" spans="9:14" hidden="1" x14ac:dyDescent="0.25">
      <c r="I95" s="373">
        <f t="shared" si="14"/>
        <v>2007</v>
      </c>
      <c r="J95" s="489">
        <f t="shared" si="15"/>
        <v>5176.858970586537</v>
      </c>
      <c r="K95" s="373"/>
      <c r="L95" s="374"/>
      <c r="M95" s="489">
        <f>+M94*(1+$M$77)</f>
        <v>5039.0598384217046</v>
      </c>
      <c r="N95" s="489"/>
    </row>
    <row r="96" spans="9:14" hidden="1" x14ac:dyDescent="0.25">
      <c r="I96" s="373">
        <f t="shared" si="14"/>
        <v>2008</v>
      </c>
      <c r="J96" s="489">
        <f t="shared" si="15"/>
        <v>5357.0435099945407</v>
      </c>
      <c r="K96" s="373"/>
      <c r="L96" s="374"/>
      <c r="M96" s="489">
        <f>+M95*(1+$M$77)</f>
        <v>5331.6502711281973</v>
      </c>
      <c r="N96" s="489"/>
    </row>
    <row r="97" spans="9:14" hidden="1" x14ac:dyDescent="0.25">
      <c r="I97" s="373">
        <f t="shared" si="14"/>
        <v>2009</v>
      </c>
      <c r="J97" s="489">
        <f t="shared" si="15"/>
        <v>5543.4995102296871</v>
      </c>
      <c r="K97" s="373"/>
      <c r="L97" s="374"/>
      <c r="M97" s="489">
        <f>+M96*(1+$M$77)</f>
        <v>5641.2298176885524</v>
      </c>
      <c r="N97" s="489"/>
    </row>
    <row r="98" spans="9:14" hidden="1" x14ac:dyDescent="0.25">
      <c r="I98" s="373">
        <f t="shared" si="14"/>
        <v>2010</v>
      </c>
      <c r="J98" s="489">
        <f t="shared" si="15"/>
        <v>5736.4452542869294</v>
      </c>
      <c r="K98" s="373"/>
      <c r="L98" s="374"/>
      <c r="M98" s="489">
        <f>+M97*(1+$M$77)</f>
        <v>5968.7849423110138</v>
      </c>
      <c r="N98" s="489"/>
    </row>
    <row r="99" spans="9:14" hidden="1" x14ac:dyDescent="0.25">
      <c r="I99" s="373">
        <f t="shared" si="14"/>
        <v>2011</v>
      </c>
      <c r="J99" s="489">
        <f t="shared" si="15"/>
        <v>5936.1066226679595</v>
      </c>
      <c r="K99" s="373"/>
      <c r="L99" s="374"/>
      <c r="M99" s="489"/>
      <c r="N99" s="489">
        <f>+H63*(1+N77)</f>
        <v>6095.3279679442303</v>
      </c>
    </row>
    <row r="100" spans="9:14" hidden="1" x14ac:dyDescent="0.25">
      <c r="I100" s="373">
        <f t="shared" si="14"/>
        <v>2012</v>
      </c>
      <c r="J100" s="489">
        <f t="shared" si="15"/>
        <v>6142.7173578182437</v>
      </c>
      <c r="K100" s="373"/>
      <c r="L100" s="374"/>
      <c r="M100" s="489"/>
      <c r="N100" s="489">
        <f>+N99*(1+$N$77)</f>
        <v>6224.5538071636565</v>
      </c>
    </row>
    <row r="101" spans="9:14" hidden="1" x14ac:dyDescent="0.25">
      <c r="I101" s="373">
        <f t="shared" si="14"/>
        <v>2013</v>
      </c>
      <c r="J101" s="489">
        <f t="shared" si="15"/>
        <v>6356.5193377679943</v>
      </c>
      <c r="K101" s="488"/>
      <c r="L101" s="374"/>
      <c r="M101" s="489"/>
      <c r="N101" s="489">
        <f>+N100*(1+$N$77)</f>
        <v>6356.5193377679907</v>
      </c>
    </row>
  </sheetData>
  <mergeCells count="82">
    <mergeCell ref="A76:B76"/>
    <mergeCell ref="A77:B77"/>
    <mergeCell ref="A70:B70"/>
    <mergeCell ref="A71:B71"/>
    <mergeCell ref="A72:B72"/>
    <mergeCell ref="A73:B73"/>
    <mergeCell ref="A74:B74"/>
    <mergeCell ref="A75:B75"/>
    <mergeCell ref="J66:N66"/>
    <mergeCell ref="A67:B67"/>
    <mergeCell ref="D67:I67"/>
    <mergeCell ref="J67:N67"/>
    <mergeCell ref="A68:B68"/>
    <mergeCell ref="A69:B69"/>
    <mergeCell ref="A60:B60"/>
    <mergeCell ref="A61:B61"/>
    <mergeCell ref="A62:B62"/>
    <mergeCell ref="A63:B63"/>
    <mergeCell ref="A66:B66"/>
    <mergeCell ref="D66:I66"/>
    <mergeCell ref="A54:B54"/>
    <mergeCell ref="A55:B55"/>
    <mergeCell ref="A56:B56"/>
    <mergeCell ref="A57:B57"/>
    <mergeCell ref="A58:B58"/>
    <mergeCell ref="A59:B59"/>
    <mergeCell ref="A49:B49"/>
    <mergeCell ref="A50:B50"/>
    <mergeCell ref="A52:B52"/>
    <mergeCell ref="D52:I52"/>
    <mergeCell ref="J52:O52"/>
    <mergeCell ref="A53:B53"/>
    <mergeCell ref="D53:I53"/>
    <mergeCell ref="J53:O53"/>
    <mergeCell ref="A43:B43"/>
    <mergeCell ref="A44:B44"/>
    <mergeCell ref="A45:B45"/>
    <mergeCell ref="A46:B46"/>
    <mergeCell ref="A47:B47"/>
    <mergeCell ref="A48:B48"/>
    <mergeCell ref="J39:O39"/>
    <mergeCell ref="A40:B40"/>
    <mergeCell ref="D40:I40"/>
    <mergeCell ref="J40:O40"/>
    <mergeCell ref="A41:B41"/>
    <mergeCell ref="A42:B42"/>
    <mergeCell ref="A34:B34"/>
    <mergeCell ref="A35:B35"/>
    <mergeCell ref="A36:B36"/>
    <mergeCell ref="A37:B37"/>
    <mergeCell ref="A39:B39"/>
    <mergeCell ref="D39:I39"/>
    <mergeCell ref="A28:B28"/>
    <mergeCell ref="A29:B29"/>
    <mergeCell ref="A30:B30"/>
    <mergeCell ref="A31:B31"/>
    <mergeCell ref="A32:B32"/>
    <mergeCell ref="A33:B33"/>
    <mergeCell ref="D25:I25"/>
    <mergeCell ref="J25:O25"/>
    <mergeCell ref="A26:B26"/>
    <mergeCell ref="D26:I26"/>
    <mergeCell ref="J26:O26"/>
    <mergeCell ref="A27:B27"/>
    <mergeCell ref="A19:B19"/>
    <mergeCell ref="A20:B20"/>
    <mergeCell ref="A21:B21"/>
    <mergeCell ref="A22:B22"/>
    <mergeCell ref="A23:B23"/>
    <mergeCell ref="A25:B25"/>
    <mergeCell ref="A13:B13"/>
    <mergeCell ref="A14:B14"/>
    <mergeCell ref="A15:B15"/>
    <mergeCell ref="A16:B16"/>
    <mergeCell ref="A17:B17"/>
    <mergeCell ref="A18:B18"/>
    <mergeCell ref="A11:B11"/>
    <mergeCell ref="D11:I11"/>
    <mergeCell ref="J11:O11"/>
    <mergeCell ref="A12:B12"/>
    <mergeCell ref="D12:I12"/>
    <mergeCell ref="J12:O12"/>
  </mergeCells>
  <hyperlinks>
    <hyperlink ref="D12" r:id="rId1"/>
    <hyperlink ref="D26" r:id="rId2"/>
    <hyperlink ref="D40:I40" r:id="rId3" display="http://www.ilo.org/global/research/global-reports/weso/2015/lang--en/index.htm"/>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6"/>
  <sheetViews>
    <sheetView showGridLines="0" workbookViewId="0">
      <selection activeCell="A2" sqref="A2"/>
    </sheetView>
  </sheetViews>
  <sheetFormatPr defaultRowHeight="12" x14ac:dyDescent="0.25"/>
  <cols>
    <col min="1" max="1" width="42.28515625" customWidth="1"/>
    <col min="4" max="5" width="11.140625" bestFit="1" customWidth="1"/>
  </cols>
  <sheetData>
    <row r="1" spans="1:16" ht="14.4" x14ac:dyDescent="0.25">
      <c r="A1" s="80" t="s">
        <v>39</v>
      </c>
      <c r="B1" s="46"/>
      <c r="C1" s="46"/>
      <c r="D1" s="46"/>
      <c r="E1" s="46"/>
      <c r="F1" s="46"/>
      <c r="G1" s="46"/>
      <c r="H1" s="4"/>
      <c r="I1" s="4"/>
      <c r="J1" s="4"/>
      <c r="K1" s="6"/>
      <c r="L1" s="4"/>
      <c r="M1" s="4"/>
      <c r="N1" s="4"/>
      <c r="O1" s="4"/>
      <c r="P1" s="4"/>
    </row>
    <row r="2" spans="1:16" x14ac:dyDescent="0.25">
      <c r="A2" s="364" t="s">
        <v>324</v>
      </c>
      <c r="B2" s="46"/>
      <c r="C2" s="46"/>
      <c r="D2" s="46"/>
      <c r="E2" s="46"/>
      <c r="F2" s="46"/>
      <c r="G2" s="46"/>
      <c r="H2" s="4"/>
      <c r="I2" s="4"/>
      <c r="J2" s="4"/>
      <c r="K2" s="6"/>
      <c r="L2" s="4"/>
      <c r="M2" s="4"/>
      <c r="N2" s="4"/>
      <c r="O2" s="4"/>
      <c r="P2" s="4"/>
    </row>
    <row r="3" spans="1:16" x14ac:dyDescent="0.25">
      <c r="A3" s="364"/>
      <c r="B3" s="46"/>
      <c r="C3" s="46"/>
      <c r="D3" s="46"/>
      <c r="E3" s="46"/>
      <c r="F3" s="46"/>
      <c r="G3" s="46"/>
      <c r="H3" s="4"/>
      <c r="I3" s="4"/>
      <c r="J3" s="4"/>
      <c r="K3" s="6"/>
      <c r="L3" s="4"/>
      <c r="M3" s="4"/>
      <c r="N3" s="4"/>
      <c r="O3" s="4"/>
      <c r="P3" s="4"/>
    </row>
    <row r="4" spans="1:16" x14ac:dyDescent="0.25">
      <c r="A4" s="491" t="s">
        <v>310</v>
      </c>
      <c r="B4" s="4"/>
      <c r="C4" s="4"/>
      <c r="D4" s="4"/>
      <c r="E4" s="4"/>
      <c r="F4" s="4"/>
      <c r="G4" s="4"/>
      <c r="H4" s="4"/>
      <c r="I4" s="4"/>
      <c r="J4" s="4"/>
      <c r="K4" s="6"/>
      <c r="L4" s="4"/>
      <c r="M4" s="4"/>
      <c r="N4" s="4"/>
      <c r="O4" s="4"/>
      <c r="P4" s="4"/>
    </row>
    <row r="5" spans="1:16" ht="30.6" x14ac:dyDescent="0.25">
      <c r="A5" s="492" t="s">
        <v>307</v>
      </c>
      <c r="B5" s="47" t="s">
        <v>311</v>
      </c>
      <c r="C5" s="286" t="s">
        <v>10</v>
      </c>
      <c r="D5" s="338" t="s">
        <v>312</v>
      </c>
      <c r="E5" s="339"/>
      <c r="F5" s="338" t="s">
        <v>313</v>
      </c>
      <c r="G5" s="339"/>
      <c r="H5" s="49"/>
      <c r="I5" s="49"/>
      <c r="J5" s="49"/>
      <c r="K5" s="50"/>
      <c r="L5" s="49"/>
      <c r="M5" s="49"/>
      <c r="N5" s="49"/>
      <c r="O5" s="49"/>
      <c r="P5" s="49"/>
    </row>
    <row r="6" spans="1:16" ht="24" x14ac:dyDescent="0.25">
      <c r="A6" s="493"/>
      <c r="B6" s="91" t="s">
        <v>307</v>
      </c>
      <c r="C6" s="52" t="s">
        <v>45</v>
      </c>
      <c r="D6" s="53" t="s">
        <v>314</v>
      </c>
      <c r="E6" s="53" t="s">
        <v>45</v>
      </c>
      <c r="F6" s="53" t="s">
        <v>314</v>
      </c>
      <c r="G6" s="53" t="s">
        <v>45</v>
      </c>
      <c r="H6" s="54"/>
      <c r="I6" s="54"/>
      <c r="J6" s="54"/>
      <c r="K6" s="55"/>
      <c r="L6" s="54"/>
      <c r="M6" s="54"/>
      <c r="N6" s="54"/>
      <c r="O6" s="54"/>
      <c r="P6" s="54"/>
    </row>
    <row r="7" spans="1:16" x14ac:dyDescent="0.25">
      <c r="A7" s="494" t="s">
        <v>14</v>
      </c>
      <c r="B7" s="495">
        <f t="shared" ref="B7:B14" si="0">+G7-F7</f>
        <v>-1.361337936887999</v>
      </c>
      <c r="C7" s="496">
        <f>+'GVA-productivity4'!L55</f>
        <v>0.44285266533851247</v>
      </c>
      <c r="D7" s="497">
        <f>+'GVA-productivity4'!E42</f>
        <v>14328</v>
      </c>
      <c r="E7" s="497">
        <f>+'GVA-productivity4'!F42</f>
        <v>17512</v>
      </c>
      <c r="F7" s="496">
        <f>+'GVA-productivity4'!K42</f>
        <v>50.127698282195709</v>
      </c>
      <c r="G7" s="496">
        <f>+'GVA-productivity4'!L42</f>
        <v>48.76636034530771</v>
      </c>
      <c r="H7" s="4"/>
      <c r="I7" s="4"/>
      <c r="J7" s="4"/>
      <c r="K7" s="6"/>
      <c r="L7" s="4"/>
      <c r="M7" s="4"/>
      <c r="N7" s="4"/>
      <c r="O7" s="4"/>
      <c r="P7" s="4"/>
    </row>
    <row r="8" spans="1:16" x14ac:dyDescent="0.25">
      <c r="A8" s="494" t="s">
        <v>315</v>
      </c>
      <c r="B8" s="495">
        <f t="shared" si="0"/>
        <v>2.7014790004200373E-2</v>
      </c>
      <c r="C8" s="496">
        <f>+'GVA-productivity4'!L56</f>
        <v>41.290739265510176</v>
      </c>
      <c r="D8" s="497">
        <f>+'GVA-productivity4'!E43</f>
        <v>126</v>
      </c>
      <c r="E8" s="497">
        <f>+'GVA-productivity4'!F43</f>
        <v>168</v>
      </c>
      <c r="F8" s="496">
        <f>+'GVA-productivity4'!K43</f>
        <v>0.44082146730574118</v>
      </c>
      <c r="G8" s="496">
        <f>+'GVA-productivity4'!L43</f>
        <v>0.46783625730994155</v>
      </c>
      <c r="H8" s="4"/>
      <c r="I8" s="4"/>
      <c r="J8" s="4"/>
      <c r="K8" s="6"/>
      <c r="L8" s="4"/>
      <c r="M8" s="4"/>
      <c r="N8" s="4"/>
      <c r="O8" s="4"/>
      <c r="P8" s="4"/>
    </row>
    <row r="9" spans="1:16" x14ac:dyDescent="0.25">
      <c r="A9" s="494" t="s">
        <v>20</v>
      </c>
      <c r="B9" s="495">
        <f t="shared" si="0"/>
        <v>-0.79983152632151011</v>
      </c>
      <c r="C9" s="496">
        <f>+'GVA-productivity4'!L57</f>
        <v>0.58615656941067062</v>
      </c>
      <c r="D9" s="497">
        <f>+'GVA-productivity4'!E44</f>
        <v>3504</v>
      </c>
      <c r="E9" s="497">
        <f>+'GVA-productivity4'!F44</f>
        <v>4115</v>
      </c>
      <c r="F9" s="496">
        <f>+'GVA-productivity4'!K44</f>
        <v>12.259035090788231</v>
      </c>
      <c r="G9" s="496">
        <f>+'GVA-productivity4'!L44</f>
        <v>11.459203564466721</v>
      </c>
      <c r="H9" s="4"/>
      <c r="I9" s="4"/>
      <c r="J9" s="4"/>
      <c r="K9" s="6"/>
      <c r="L9" s="4"/>
      <c r="M9" s="4"/>
      <c r="N9" s="4"/>
      <c r="O9" s="4"/>
      <c r="P9" s="4"/>
    </row>
    <row r="10" spans="1:16" x14ac:dyDescent="0.25">
      <c r="A10" s="494" t="s">
        <v>22</v>
      </c>
      <c r="B10" s="495">
        <f t="shared" si="0"/>
        <v>6.1896861595615249E-2</v>
      </c>
      <c r="C10" s="496">
        <f>+'GVA-productivity4'!L58</f>
        <v>2.7848559597510647</v>
      </c>
      <c r="D10" s="497">
        <f>+'GVA-productivity4'!E45</f>
        <v>319</v>
      </c>
      <c r="E10" s="497">
        <f>+'GVA-productivity4'!F45</f>
        <v>423</v>
      </c>
      <c r="F10" s="496">
        <f>+'GVA-productivity4'!K45</f>
        <v>1.1160480005597733</v>
      </c>
      <c r="G10" s="496">
        <f>+'GVA-productivity4'!L45</f>
        <v>1.1779448621553885</v>
      </c>
      <c r="H10" s="4"/>
      <c r="I10" s="4"/>
      <c r="J10" s="4"/>
      <c r="K10" s="6"/>
      <c r="L10" s="4"/>
      <c r="M10" s="4"/>
      <c r="N10" s="4"/>
      <c r="O10" s="4"/>
      <c r="P10" s="4"/>
    </row>
    <row r="11" spans="1:16" x14ac:dyDescent="0.25">
      <c r="A11" s="494" t="s">
        <v>290</v>
      </c>
      <c r="B11" s="495">
        <f t="shared" si="0"/>
        <v>0.96827753570720176</v>
      </c>
      <c r="C11" s="496">
        <f>+'GVA-productivity4'!L59</f>
        <v>0.73320736755179738</v>
      </c>
      <c r="D11" s="497">
        <f>+'GVA-productivity4'!E46</f>
        <v>5802</v>
      </c>
      <c r="E11" s="497">
        <f>+'GVA-productivity4'!F46</f>
        <v>7637</v>
      </c>
      <c r="F11" s="496">
        <f>+'GVA-productivity4'!K46</f>
        <v>20.298778994507224</v>
      </c>
      <c r="G11" s="496">
        <f>+'GVA-productivity4'!L46</f>
        <v>21.267056530214425</v>
      </c>
      <c r="H11" s="4"/>
      <c r="I11" s="4"/>
      <c r="J11" s="4"/>
      <c r="K11" s="6"/>
      <c r="L11" s="4"/>
      <c r="M11" s="4"/>
      <c r="N11" s="4"/>
      <c r="O11" s="4"/>
      <c r="P11" s="4"/>
    </row>
    <row r="12" spans="1:16" x14ac:dyDescent="0.25">
      <c r="A12" s="498" t="s">
        <v>291</v>
      </c>
      <c r="B12" s="495">
        <f t="shared" si="0"/>
        <v>0.21068572491298942</v>
      </c>
      <c r="C12" s="496">
        <f>+'GVA-productivity4'!L60</f>
        <v>2.9326763805561384</v>
      </c>
      <c r="D12" s="497">
        <f>+'GVA-productivity4'!E47</f>
        <v>606</v>
      </c>
      <c r="E12" s="497">
        <f>+'GVA-productivity4'!F47</f>
        <v>837</v>
      </c>
      <c r="F12" s="496">
        <f>+'GVA-productivity4'!K47</f>
        <v>2.1201413427561837</v>
      </c>
      <c r="G12" s="496">
        <f>+'GVA-productivity4'!L47</f>
        <v>2.3308270676691731</v>
      </c>
      <c r="H12" s="4"/>
      <c r="I12" s="4"/>
      <c r="J12" s="4"/>
      <c r="K12" s="6"/>
      <c r="L12" s="4"/>
      <c r="M12" s="4"/>
      <c r="N12" s="4"/>
      <c r="O12" s="4"/>
      <c r="P12" s="4"/>
    </row>
    <row r="13" spans="1:16" x14ac:dyDescent="0.25">
      <c r="A13" s="494" t="s">
        <v>292</v>
      </c>
      <c r="B13" s="495">
        <f t="shared" si="0"/>
        <v>0.89329455098950206</v>
      </c>
      <c r="C13" s="496">
        <f>+'GVA-productivity4'!L61</f>
        <v>1.8347521612434046</v>
      </c>
      <c r="D13" s="497">
        <f>+'GVA-productivity4'!E48</f>
        <v>3898</v>
      </c>
      <c r="E13" s="497">
        <f>+'GVA-productivity4'!F48</f>
        <v>5218</v>
      </c>
      <c r="F13" s="496">
        <f>+'GVA-productivity4'!K48</f>
        <v>13.637476821887134</v>
      </c>
      <c r="G13" s="496">
        <f>+'GVA-productivity4'!L48</f>
        <v>14.530771372876636</v>
      </c>
      <c r="H13" s="4"/>
      <c r="I13" s="4"/>
      <c r="J13" s="4"/>
      <c r="K13" s="6"/>
      <c r="L13" s="4"/>
      <c r="M13" s="4"/>
      <c r="N13" s="4"/>
      <c r="O13" s="4"/>
      <c r="P13" s="4"/>
    </row>
    <row r="14" spans="1:16" x14ac:dyDescent="0.25">
      <c r="A14" s="88" t="s">
        <v>316</v>
      </c>
      <c r="B14" s="499">
        <f t="shared" si="0"/>
        <v>0</v>
      </c>
      <c r="C14" s="500">
        <f>+'GVA-productivity4'!L63</f>
        <v>1</v>
      </c>
      <c r="D14" s="501">
        <f>+'GVA-productivity4'!E50</f>
        <v>28583</v>
      </c>
      <c r="E14" s="501">
        <f>+'GVA-productivity4'!F50</f>
        <v>35910</v>
      </c>
      <c r="F14" s="500">
        <f>+'GVA-productivity4'!K50</f>
        <v>99.999999999999986</v>
      </c>
      <c r="G14" s="500">
        <f>+'GVA-productivity4'!L50</f>
        <v>100</v>
      </c>
      <c r="H14" s="9"/>
      <c r="I14" s="9"/>
      <c r="J14" s="9"/>
      <c r="K14" s="10"/>
      <c r="L14" s="9"/>
      <c r="M14" s="9"/>
      <c r="N14" s="9"/>
      <c r="O14" s="9"/>
      <c r="P14" s="9"/>
    </row>
    <row r="15" spans="1:16" x14ac:dyDescent="0.25">
      <c r="A15" s="59" t="s">
        <v>49</v>
      </c>
      <c r="B15" s="502"/>
      <c r="C15" s="502"/>
      <c r="D15" s="503">
        <f>SUM(D7:D13)</f>
        <v>28583</v>
      </c>
      <c r="E15" s="503">
        <f>SUM(E7:E13)</f>
        <v>35910</v>
      </c>
      <c r="F15" s="504">
        <f>SUM(F7:F13)</f>
        <v>99.999999999999986</v>
      </c>
      <c r="G15" s="504">
        <f>SUM(G7:G13)</f>
        <v>100</v>
      </c>
      <c r="H15" s="36"/>
      <c r="I15" s="36"/>
      <c r="J15" s="36"/>
      <c r="K15" s="42"/>
      <c r="L15" s="36"/>
      <c r="M15" s="36"/>
      <c r="N15" s="36"/>
      <c r="O15" s="36"/>
      <c r="P15" s="36"/>
    </row>
    <row r="16" spans="1:16" x14ac:dyDescent="0.25">
      <c r="A16" s="59"/>
      <c r="B16" s="61"/>
      <c r="C16" s="61"/>
      <c r="D16" s="62"/>
      <c r="E16" s="62"/>
      <c r="F16" s="63"/>
      <c r="G16" s="63"/>
      <c r="H16" s="36"/>
      <c r="I16" s="36"/>
      <c r="J16" s="36"/>
      <c r="K16" s="42"/>
      <c r="L16" s="36"/>
      <c r="M16" s="36"/>
      <c r="N16" s="36"/>
      <c r="O16" s="36"/>
      <c r="P16" s="36"/>
    </row>
    <row r="17" spans="1:16" x14ac:dyDescent="0.25">
      <c r="A17" s="59"/>
      <c r="B17" s="61"/>
      <c r="C17" s="61"/>
      <c r="D17" s="62"/>
      <c r="E17" s="62"/>
      <c r="F17" s="63"/>
      <c r="G17" s="63"/>
      <c r="H17" s="36"/>
      <c r="I17" s="36"/>
      <c r="J17" s="36"/>
      <c r="K17" s="42"/>
      <c r="L17" s="36"/>
      <c r="M17" s="36"/>
      <c r="N17" s="36"/>
      <c r="O17" s="36"/>
      <c r="P17" s="36"/>
    </row>
    <row r="18" spans="1:16" x14ac:dyDescent="0.25">
      <c r="A18" s="59"/>
      <c r="B18" s="61"/>
      <c r="C18" s="61"/>
      <c r="D18" s="62"/>
      <c r="E18" s="62"/>
      <c r="F18" s="63"/>
      <c r="G18" s="63"/>
      <c r="H18" s="36"/>
      <c r="I18" s="36"/>
      <c r="J18" s="36"/>
      <c r="K18" s="42"/>
      <c r="L18" s="36"/>
      <c r="M18" s="36"/>
      <c r="N18" s="36"/>
      <c r="O18" s="36"/>
      <c r="P18" s="36"/>
    </row>
    <row r="19" spans="1:16" x14ac:dyDescent="0.25">
      <c r="A19" s="59"/>
      <c r="B19" s="61"/>
      <c r="C19" s="61"/>
      <c r="D19" s="62"/>
      <c r="E19" s="62"/>
      <c r="F19" s="63"/>
      <c r="G19" s="63"/>
      <c r="H19" s="36"/>
      <c r="I19" s="36"/>
      <c r="J19" s="36"/>
      <c r="K19" s="42"/>
      <c r="L19" s="36"/>
      <c r="M19" s="36"/>
      <c r="N19" s="36"/>
      <c r="O19" s="36"/>
      <c r="P19" s="36"/>
    </row>
    <row r="20" spans="1:16" x14ac:dyDescent="0.25">
      <c r="A20" s="59"/>
      <c r="B20" s="61"/>
      <c r="C20" s="61"/>
      <c r="D20" s="62"/>
      <c r="E20" s="62"/>
      <c r="F20" s="63"/>
      <c r="G20" s="63"/>
      <c r="H20" s="36"/>
      <c r="I20" s="36"/>
      <c r="J20" s="36"/>
      <c r="K20" s="42"/>
      <c r="L20" s="36"/>
      <c r="M20" s="36"/>
      <c r="N20" s="36"/>
      <c r="O20" s="36"/>
      <c r="P20" s="36"/>
    </row>
    <row r="21" spans="1:16" x14ac:dyDescent="0.25">
      <c r="A21" s="4"/>
      <c r="B21" s="72"/>
      <c r="C21" s="4"/>
      <c r="D21" s="75"/>
      <c r="E21" s="4"/>
      <c r="F21" s="4"/>
      <c r="G21" s="4"/>
      <c r="H21" s="4"/>
      <c r="I21" s="4"/>
      <c r="J21" s="4"/>
      <c r="K21" s="6"/>
      <c r="L21" s="4"/>
      <c r="M21" s="4"/>
      <c r="N21" s="4"/>
      <c r="O21" s="4"/>
      <c r="P21" s="4"/>
    </row>
    <row r="22" spans="1:16" ht="30.6" x14ac:dyDescent="0.25">
      <c r="A22" s="492" t="s">
        <v>12</v>
      </c>
      <c r="B22" s="47" t="s">
        <v>311</v>
      </c>
      <c r="C22" s="286" t="s">
        <v>10</v>
      </c>
      <c r="D22" s="505" t="s">
        <v>312</v>
      </c>
      <c r="E22" s="506"/>
      <c r="F22" s="505" t="s">
        <v>313</v>
      </c>
      <c r="G22" s="506"/>
      <c r="H22" s="4"/>
      <c r="I22" s="4"/>
      <c r="J22" s="4"/>
      <c r="K22" s="6"/>
      <c r="L22" s="4"/>
      <c r="M22" s="4"/>
      <c r="N22" s="4"/>
      <c r="O22" s="4"/>
      <c r="P22" s="4"/>
    </row>
    <row r="23" spans="1:16" ht="12" customHeight="1" x14ac:dyDescent="0.25">
      <c r="A23" s="493"/>
      <c r="B23" s="52" t="s">
        <v>12</v>
      </c>
      <c r="C23" s="52">
        <v>2005</v>
      </c>
      <c r="D23" s="53">
        <v>2000</v>
      </c>
      <c r="E23" s="53">
        <v>2005</v>
      </c>
      <c r="F23" s="53">
        <v>2000</v>
      </c>
      <c r="G23" s="53">
        <v>2005</v>
      </c>
      <c r="H23" s="4"/>
      <c r="I23" s="4"/>
      <c r="J23" s="4"/>
      <c r="K23" s="6"/>
      <c r="L23" s="4"/>
      <c r="M23" s="4"/>
      <c r="N23" s="4"/>
      <c r="O23" s="4"/>
      <c r="P23" s="4"/>
    </row>
    <row r="24" spans="1:16" x14ac:dyDescent="0.25">
      <c r="A24" s="494" t="s">
        <v>14</v>
      </c>
      <c r="B24" s="495">
        <f t="shared" ref="B24:B31" si="1">+G24-F24</f>
        <v>-1.4930415275786473</v>
      </c>
      <c r="C24" s="496">
        <f>+'GVA-productivity4'!M55</f>
        <v>0.54123140248343737</v>
      </c>
      <c r="D24" s="497">
        <f>+'GVA-productivity4'!F42</f>
        <v>17512</v>
      </c>
      <c r="E24" s="497">
        <f>+'GVA-productivity4'!G42</f>
        <v>18889</v>
      </c>
      <c r="F24" s="496">
        <f>+'GVA-productivity4'!L42</f>
        <v>48.76636034530771</v>
      </c>
      <c r="G24" s="496">
        <f>+'GVA-productivity4'!M42</f>
        <v>47.273318817729063</v>
      </c>
      <c r="H24" s="4"/>
      <c r="I24" s="4"/>
      <c r="J24" s="4"/>
      <c r="K24" s="6"/>
      <c r="L24" s="4"/>
      <c r="M24" s="4"/>
      <c r="N24" s="4"/>
      <c r="O24" s="4"/>
      <c r="P24" s="4"/>
    </row>
    <row r="25" spans="1:16" x14ac:dyDescent="0.25">
      <c r="A25" s="494" t="s">
        <v>315</v>
      </c>
      <c r="B25" s="495">
        <f t="shared" si="1"/>
        <v>0.1603390311251261</v>
      </c>
      <c r="C25" s="496">
        <f>+'GVA-productivity4'!M56</f>
        <v>23.704778776913951</v>
      </c>
      <c r="D25" s="497">
        <f>+'GVA-productivity4'!F43</f>
        <v>168</v>
      </c>
      <c r="E25" s="497">
        <f>+'GVA-productivity4'!G43</f>
        <v>251</v>
      </c>
      <c r="F25" s="496">
        <f>+'GVA-productivity4'!L43</f>
        <v>0.46783625730994155</v>
      </c>
      <c r="G25" s="496">
        <f>+'GVA-productivity4'!M43</f>
        <v>0.62817528843506765</v>
      </c>
      <c r="H25" s="4"/>
      <c r="I25" s="4"/>
      <c r="J25" s="4"/>
      <c r="K25" s="6"/>
      <c r="L25" s="4"/>
      <c r="M25" s="4"/>
      <c r="N25" s="4"/>
      <c r="O25" s="4"/>
      <c r="P25" s="4"/>
    </row>
    <row r="26" spans="1:16" x14ac:dyDescent="0.25">
      <c r="A26" s="494" t="s">
        <v>20</v>
      </c>
      <c r="B26" s="495">
        <f t="shared" si="1"/>
        <v>-3.2403683165752373</v>
      </c>
      <c r="C26" s="496">
        <f>+'GVA-productivity4'!M57</f>
        <v>0.75302268107893044</v>
      </c>
      <c r="D26" s="497">
        <f>+'GVA-productivity4'!F44</f>
        <v>4115</v>
      </c>
      <c r="E26" s="497">
        <f>+'GVA-productivity4'!G44</f>
        <v>3284</v>
      </c>
      <c r="F26" s="496">
        <f>+'GVA-productivity4'!L44</f>
        <v>11.459203564466721</v>
      </c>
      <c r="G26" s="496">
        <f>+'GVA-productivity4'!M44</f>
        <v>8.2188352478914837</v>
      </c>
      <c r="H26" s="4"/>
      <c r="I26" s="4"/>
      <c r="J26" s="4"/>
      <c r="K26" s="6"/>
      <c r="L26" s="4"/>
      <c r="M26" s="4"/>
      <c r="N26" s="4"/>
      <c r="O26" s="4"/>
      <c r="P26" s="4"/>
    </row>
    <row r="27" spans="1:16" x14ac:dyDescent="0.25">
      <c r="A27" s="494" t="s">
        <v>22</v>
      </c>
      <c r="B27" s="495">
        <f t="shared" si="1"/>
        <v>0.2360752094215568</v>
      </c>
      <c r="C27" s="496">
        <f>+'GVA-productivity4'!M58</f>
        <v>1.8599701114800866</v>
      </c>
      <c r="D27" s="497">
        <f>+'GVA-productivity4'!F45</f>
        <v>423</v>
      </c>
      <c r="E27" s="497">
        <f>+'GVA-productivity4'!G45</f>
        <v>565</v>
      </c>
      <c r="F27" s="496">
        <f>+'GVA-productivity4'!L45</f>
        <v>1.1779448621553885</v>
      </c>
      <c r="G27" s="496">
        <f>+'GVA-productivity4'!M45</f>
        <v>1.4140200715769453</v>
      </c>
      <c r="H27" s="4"/>
      <c r="I27" s="4"/>
      <c r="J27" s="4"/>
      <c r="K27" s="6"/>
      <c r="L27" s="4"/>
      <c r="M27" s="4"/>
      <c r="N27" s="4"/>
      <c r="O27" s="4"/>
      <c r="P27" s="4"/>
    </row>
    <row r="28" spans="1:16" x14ac:dyDescent="0.25">
      <c r="A28" s="494" t="s">
        <v>290</v>
      </c>
      <c r="B28" s="495">
        <f t="shared" si="1"/>
        <v>1.2721731416828632</v>
      </c>
      <c r="C28" s="496">
        <f>+'GVA-productivity4'!M59</f>
        <v>0.75667889713435943</v>
      </c>
      <c r="D28" s="497">
        <f>+'GVA-productivity4'!F46</f>
        <v>7637</v>
      </c>
      <c r="E28" s="497">
        <f>+'GVA-productivity4'!G46</f>
        <v>9006</v>
      </c>
      <c r="F28" s="496">
        <f>+'GVA-productivity4'!L46</f>
        <v>21.267056530214425</v>
      </c>
      <c r="G28" s="496">
        <f>+'GVA-productivity4'!M46</f>
        <v>22.539229671897289</v>
      </c>
      <c r="H28" s="4"/>
      <c r="I28" s="4"/>
      <c r="J28" s="4"/>
      <c r="K28" s="6"/>
      <c r="L28" s="4"/>
      <c r="M28" s="4"/>
      <c r="N28" s="4"/>
      <c r="O28" s="4"/>
      <c r="P28" s="4"/>
    </row>
    <row r="29" spans="1:16" x14ac:dyDescent="0.25">
      <c r="A29" s="498" t="s">
        <v>291</v>
      </c>
      <c r="B29" s="495">
        <f t="shared" si="1"/>
        <v>0.64487180862284088</v>
      </c>
      <c r="C29" s="496">
        <f>+'GVA-productivity4'!M60</f>
        <v>3.9914250916150888</v>
      </c>
      <c r="D29" s="497">
        <f>+'GVA-productivity4'!F47</f>
        <v>837</v>
      </c>
      <c r="E29" s="497">
        <f>+'GVA-productivity4'!G47</f>
        <v>1189</v>
      </c>
      <c r="F29" s="496">
        <f>+'GVA-productivity4'!L47</f>
        <v>2.3308270676691731</v>
      </c>
      <c r="G29" s="496">
        <f>+'GVA-productivity4'!M47</f>
        <v>2.975698876292014</v>
      </c>
      <c r="H29" s="4"/>
      <c r="I29" s="4"/>
      <c r="J29" s="4"/>
      <c r="K29" s="6"/>
      <c r="L29" s="4"/>
      <c r="M29" s="4"/>
      <c r="N29" s="4"/>
      <c r="O29" s="4"/>
      <c r="P29" s="4"/>
    </row>
    <row r="30" spans="1:16" x14ac:dyDescent="0.25">
      <c r="A30" s="494" t="s">
        <v>292</v>
      </c>
      <c r="B30" s="495">
        <f t="shared" si="1"/>
        <v>2.4199506533015054</v>
      </c>
      <c r="C30" s="496">
        <f>+'GVA-productivity4'!M61</f>
        <v>1.2844406299000612</v>
      </c>
      <c r="D30" s="497">
        <f>+'GVA-productivity4'!F48</f>
        <v>5218</v>
      </c>
      <c r="E30" s="497">
        <f>+'GVA-productivity4'!G48</f>
        <v>6773</v>
      </c>
      <c r="F30" s="496">
        <f>+'GVA-productivity4'!L48</f>
        <v>14.530771372876636</v>
      </c>
      <c r="G30" s="496">
        <f>+'GVA-productivity4'!M48</f>
        <v>16.950722026178141</v>
      </c>
      <c r="H30" s="4"/>
      <c r="I30" s="4"/>
      <c r="J30" s="4"/>
      <c r="K30" s="6"/>
      <c r="L30" s="4"/>
      <c r="M30" s="4"/>
      <c r="N30" s="4"/>
      <c r="O30" s="4"/>
      <c r="P30" s="4"/>
    </row>
    <row r="31" spans="1:16" x14ac:dyDescent="0.25">
      <c r="A31" s="88" t="s">
        <v>316</v>
      </c>
      <c r="B31" s="499">
        <f t="shared" si="1"/>
        <v>0</v>
      </c>
      <c r="C31" s="500">
        <f>+'GVA-productivity4'!M63</f>
        <v>1</v>
      </c>
      <c r="D31" s="501">
        <f>+'GVA-productivity4'!F50</f>
        <v>35910</v>
      </c>
      <c r="E31" s="501">
        <f>+'GVA-productivity4'!G50</f>
        <v>39957</v>
      </c>
      <c r="F31" s="500">
        <f>+'GVA-productivity4'!L50</f>
        <v>100</v>
      </c>
      <c r="G31" s="500">
        <f>+'GVA-productivity4'!M50</f>
        <v>100</v>
      </c>
      <c r="H31" s="4"/>
      <c r="I31" s="4"/>
      <c r="J31" s="4"/>
      <c r="K31" s="6"/>
      <c r="L31" s="4"/>
      <c r="M31" s="4"/>
      <c r="N31" s="4"/>
      <c r="O31" s="4"/>
      <c r="P31" s="4"/>
    </row>
    <row r="32" spans="1:16" x14ac:dyDescent="0.25">
      <c r="A32" s="59" t="s">
        <v>49</v>
      </c>
      <c r="B32" s="502"/>
      <c r="C32" s="502"/>
      <c r="D32" s="503">
        <f>SUM(D24:D30)</f>
        <v>35910</v>
      </c>
      <c r="E32" s="503">
        <f>SUM(E24:E30)</f>
        <v>39957</v>
      </c>
      <c r="F32" s="504">
        <f>SUM(F24:F30)</f>
        <v>100</v>
      </c>
      <c r="G32" s="504">
        <f>SUM(G24:G30)</f>
        <v>100</v>
      </c>
      <c r="H32" s="4"/>
      <c r="I32" s="4"/>
      <c r="J32" s="4"/>
      <c r="K32" s="6"/>
      <c r="L32" s="4"/>
      <c r="M32" s="4"/>
      <c r="N32" s="4"/>
      <c r="O32" s="4"/>
      <c r="P32" s="4"/>
    </row>
    <row r="33" spans="1:16" x14ac:dyDescent="0.25">
      <c r="A33" s="59"/>
      <c r="B33" s="44"/>
      <c r="C33" s="61"/>
      <c r="D33" s="62"/>
      <c r="E33" s="62"/>
      <c r="F33" s="60"/>
      <c r="G33" s="60"/>
      <c r="H33" s="4"/>
      <c r="I33" s="4"/>
      <c r="J33" s="4"/>
      <c r="K33" s="6"/>
      <c r="L33" s="4"/>
      <c r="M33" s="4"/>
      <c r="N33" s="4"/>
      <c r="O33" s="4"/>
      <c r="P33" s="4"/>
    </row>
    <row r="34" spans="1:16" x14ac:dyDescent="0.25">
      <c r="A34" s="59"/>
      <c r="B34" s="44"/>
      <c r="C34" s="61"/>
      <c r="D34" s="62"/>
      <c r="E34" s="62"/>
      <c r="F34" s="60"/>
      <c r="G34" s="60"/>
      <c r="H34" s="4"/>
      <c r="I34" s="4"/>
      <c r="J34" s="4"/>
      <c r="K34" s="6"/>
      <c r="L34" s="4"/>
      <c r="M34" s="4"/>
      <c r="N34" s="4"/>
      <c r="O34" s="4"/>
      <c r="P34" s="4"/>
    </row>
    <row r="35" spans="1:16" x14ac:dyDescent="0.25">
      <c r="A35" s="59"/>
      <c r="B35" s="44"/>
      <c r="C35" s="61"/>
      <c r="D35" s="62"/>
      <c r="E35" s="62"/>
      <c r="F35" s="60"/>
      <c r="G35" s="60"/>
      <c r="H35" s="4"/>
      <c r="I35" s="4"/>
      <c r="J35" s="4"/>
      <c r="K35" s="6"/>
      <c r="L35" s="4"/>
      <c r="M35" s="4"/>
      <c r="N35" s="4"/>
      <c r="O35" s="4"/>
      <c r="P35" s="4"/>
    </row>
    <row r="36" spans="1:16" x14ac:dyDescent="0.25">
      <c r="A36" s="59"/>
      <c r="B36" s="44"/>
      <c r="C36" s="61"/>
      <c r="D36" s="62"/>
      <c r="E36" s="62"/>
      <c r="F36" s="60"/>
      <c r="G36" s="60"/>
      <c r="H36" s="4"/>
      <c r="I36" s="4"/>
      <c r="J36" s="4"/>
      <c r="K36" s="6"/>
      <c r="L36" s="4"/>
      <c r="M36" s="4"/>
      <c r="N36" s="4"/>
      <c r="O36" s="4"/>
      <c r="P36" s="4"/>
    </row>
    <row r="37" spans="1:16" x14ac:dyDescent="0.25">
      <c r="A37" s="59"/>
      <c r="B37" s="44"/>
      <c r="C37" s="61"/>
      <c r="D37" s="62"/>
      <c r="E37" s="62"/>
      <c r="F37" s="60"/>
      <c r="G37" s="60"/>
      <c r="H37" s="4"/>
      <c r="I37" s="4"/>
      <c r="J37" s="4"/>
      <c r="K37" s="6"/>
      <c r="L37" s="4"/>
      <c r="M37" s="4"/>
      <c r="N37" s="4"/>
      <c r="O37" s="4"/>
      <c r="P37" s="4"/>
    </row>
    <row r="38" spans="1:16" x14ac:dyDescent="0.25">
      <c r="A38" s="4"/>
      <c r="B38" s="72"/>
      <c r="C38" s="4"/>
      <c r="D38" s="4"/>
      <c r="E38" s="4"/>
      <c r="F38" s="4"/>
      <c r="G38" s="4"/>
      <c r="H38" s="4"/>
      <c r="I38" s="4"/>
      <c r="J38" s="4"/>
      <c r="K38" s="6"/>
      <c r="L38" s="4"/>
      <c r="M38" s="4"/>
      <c r="N38" s="4"/>
      <c r="O38" s="4"/>
      <c r="P38" s="4"/>
    </row>
    <row r="39" spans="1:16" ht="30.6" x14ac:dyDescent="0.25">
      <c r="A39" s="492" t="s">
        <v>13</v>
      </c>
      <c r="B39" s="47" t="s">
        <v>311</v>
      </c>
      <c r="C39" s="507" t="s">
        <v>10</v>
      </c>
      <c r="D39" s="338" t="s">
        <v>312</v>
      </c>
      <c r="E39" s="339"/>
      <c r="F39" s="338" t="s">
        <v>313</v>
      </c>
      <c r="G39" s="339"/>
      <c r="H39" s="36"/>
      <c r="I39" s="36"/>
      <c r="J39" s="36"/>
      <c r="K39" s="42"/>
      <c r="L39" s="36"/>
      <c r="M39" s="36"/>
      <c r="N39" s="36"/>
      <c r="O39" s="36"/>
      <c r="P39" s="36"/>
    </row>
    <row r="40" spans="1:16" ht="12" customHeight="1" x14ac:dyDescent="0.25">
      <c r="A40" s="493"/>
      <c r="B40" s="94" t="s">
        <v>13</v>
      </c>
      <c r="C40" s="95">
        <v>2010</v>
      </c>
      <c r="D40" s="96">
        <v>2005</v>
      </c>
      <c r="E40" s="96">
        <v>2010</v>
      </c>
      <c r="F40" s="96">
        <v>2005</v>
      </c>
      <c r="G40" s="96">
        <v>2010</v>
      </c>
      <c r="H40" s="4"/>
      <c r="I40" s="4"/>
      <c r="J40" s="4"/>
      <c r="K40" s="6"/>
      <c r="L40" s="4"/>
      <c r="M40" s="4"/>
      <c r="N40" s="4"/>
      <c r="O40" s="4"/>
      <c r="P40" s="4"/>
    </row>
    <row r="41" spans="1:16" x14ac:dyDescent="0.25">
      <c r="A41" s="494" t="s">
        <v>14</v>
      </c>
      <c r="B41" s="495">
        <f t="shared" ref="B41:B48" si="2">+G41-F41</f>
        <v>-3.6687941277138378</v>
      </c>
      <c r="C41" s="496">
        <f>+'GVA-productivity4'!N55</f>
        <v>0.52721460734618142</v>
      </c>
      <c r="D41" s="497">
        <f>+'GVA-productivity4'!G42</f>
        <v>18889</v>
      </c>
      <c r="E41" s="497">
        <f>+'GVA-productivity4'!H42</f>
        <v>20045</v>
      </c>
      <c r="F41" s="496">
        <f>+'GVA-productivity4'!M42</f>
        <v>47.273318817729063</v>
      </c>
      <c r="G41" s="496">
        <f>+'GVA-productivity4'!N42</f>
        <v>43.604524690015225</v>
      </c>
      <c r="H41" s="4"/>
      <c r="I41" s="4"/>
      <c r="J41" s="4"/>
      <c r="K41" s="6"/>
      <c r="L41" s="4"/>
      <c r="M41" s="4"/>
      <c r="N41" s="4"/>
      <c r="O41" s="4"/>
      <c r="P41" s="4"/>
    </row>
    <row r="42" spans="1:16" x14ac:dyDescent="0.25">
      <c r="A42" s="494" t="s">
        <v>315</v>
      </c>
      <c r="B42" s="495">
        <f t="shared" si="2"/>
        <v>0.72923171613312887</v>
      </c>
      <c r="C42" s="496">
        <f>+'GVA-productivity4'!N56</f>
        <v>6.0455688743721847</v>
      </c>
      <c r="D42" s="497">
        <f>+'GVA-productivity4'!G43</f>
        <v>251</v>
      </c>
      <c r="E42" s="497">
        <f>+'GVA-productivity4'!H43</f>
        <v>624</v>
      </c>
      <c r="F42" s="496">
        <f>+'GVA-productivity4'!M43</f>
        <v>0.62817528843506765</v>
      </c>
      <c r="G42" s="496">
        <f>+'GVA-productivity4'!N43</f>
        <v>1.3574070045681965</v>
      </c>
      <c r="H42" s="4"/>
      <c r="I42" s="4"/>
      <c r="J42" s="4"/>
      <c r="K42" s="6"/>
      <c r="L42" s="4"/>
      <c r="M42" s="4"/>
      <c r="N42" s="4"/>
      <c r="O42" s="4"/>
      <c r="P42" s="4"/>
    </row>
    <row r="43" spans="1:16" x14ac:dyDescent="0.25">
      <c r="A43" s="494" t="s">
        <v>20</v>
      </c>
      <c r="B43" s="495">
        <f t="shared" si="2"/>
        <v>-1.6471580671214161</v>
      </c>
      <c r="C43" s="496">
        <f>+'GVA-productivity4'!N57</f>
        <v>0.93473843459130979</v>
      </c>
      <c r="D43" s="497">
        <f>+'GVA-productivity4'!G44</f>
        <v>3284</v>
      </c>
      <c r="E43" s="497">
        <f>+'GVA-productivity4'!H44</f>
        <v>3021</v>
      </c>
      <c r="F43" s="496">
        <f>+'GVA-productivity4'!M44</f>
        <v>8.2188352478914837</v>
      </c>
      <c r="G43" s="496">
        <f>+'GVA-productivity4'!N44</f>
        <v>6.5716771807700676</v>
      </c>
      <c r="H43" s="4"/>
      <c r="I43" s="4"/>
      <c r="J43" s="4"/>
      <c r="K43" s="6"/>
      <c r="L43" s="4"/>
      <c r="M43" s="4"/>
      <c r="N43" s="4"/>
      <c r="O43" s="4"/>
      <c r="P43" s="4"/>
    </row>
    <row r="44" spans="1:16" x14ac:dyDescent="0.25">
      <c r="A44" s="494" t="s">
        <v>22</v>
      </c>
      <c r="B44" s="495">
        <f t="shared" si="2"/>
        <v>0.23053072241913908</v>
      </c>
      <c r="C44" s="496">
        <f>+'GVA-productivity4'!N58</f>
        <v>1.8959524826176706</v>
      </c>
      <c r="D44" s="497">
        <f>+'GVA-productivity4'!G45</f>
        <v>565</v>
      </c>
      <c r="E44" s="497">
        <f>+'GVA-productivity4'!H45</f>
        <v>756</v>
      </c>
      <c r="F44" s="496">
        <f>+'GVA-productivity4'!M45</f>
        <v>1.4140200715769453</v>
      </c>
      <c r="G44" s="496">
        <f>+'GVA-productivity4'!N45</f>
        <v>1.6445507939960844</v>
      </c>
      <c r="H44" s="4"/>
      <c r="I44" s="4"/>
      <c r="J44" s="4"/>
      <c r="K44" s="6"/>
      <c r="L44" s="4"/>
      <c r="M44" s="4"/>
      <c r="N44" s="4"/>
      <c r="O44" s="4"/>
      <c r="P44" s="4"/>
    </row>
    <row r="45" spans="1:16" x14ac:dyDescent="0.25">
      <c r="A45" s="494" t="s">
        <v>290</v>
      </c>
      <c r="B45" s="495">
        <f t="shared" si="2"/>
        <v>0.92824911861826465</v>
      </c>
      <c r="C45" s="496">
        <f>+'GVA-productivity4'!N59</f>
        <v>0.89328415881562462</v>
      </c>
      <c r="D45" s="497">
        <f>+'GVA-productivity4'!G46</f>
        <v>9006</v>
      </c>
      <c r="E45" s="497">
        <f>+'GVA-productivity4'!H46</f>
        <v>10788</v>
      </c>
      <c r="F45" s="496">
        <f>+'GVA-productivity4'!M46</f>
        <v>22.539229671897289</v>
      </c>
      <c r="G45" s="496">
        <f>+'GVA-productivity4'!N46</f>
        <v>23.467478790515553</v>
      </c>
      <c r="H45" s="4"/>
      <c r="I45" s="4"/>
      <c r="J45" s="4"/>
      <c r="K45" s="6"/>
      <c r="L45" s="4"/>
      <c r="M45" s="4"/>
      <c r="N45" s="4"/>
      <c r="O45" s="4"/>
      <c r="P45" s="4"/>
    </row>
    <row r="46" spans="1:16" x14ac:dyDescent="0.25">
      <c r="A46" s="498" t="s">
        <v>291</v>
      </c>
      <c r="B46" s="495">
        <f t="shared" si="2"/>
        <v>0.78327436712760745</v>
      </c>
      <c r="C46" s="496">
        <f>+'GVA-productivity4'!N60</f>
        <v>5.004665920745702</v>
      </c>
      <c r="D46" s="497">
        <f>+'GVA-productivity4'!G47</f>
        <v>1189</v>
      </c>
      <c r="E46" s="497">
        <f>+'GVA-productivity4'!H47</f>
        <v>1728</v>
      </c>
      <c r="F46" s="496">
        <f>+'GVA-productivity4'!M47</f>
        <v>2.975698876292014</v>
      </c>
      <c r="G46" s="496">
        <f>+'GVA-productivity4'!N47</f>
        <v>3.7589732434196215</v>
      </c>
      <c r="H46" s="4"/>
      <c r="I46" s="4"/>
      <c r="J46" s="4"/>
      <c r="K46" s="6"/>
      <c r="L46" s="4"/>
      <c r="M46" s="4"/>
      <c r="N46" s="4"/>
      <c r="O46" s="4"/>
      <c r="P46" s="4"/>
    </row>
    <row r="47" spans="1:16" x14ac:dyDescent="0.25">
      <c r="A47" s="494" t="s">
        <v>292</v>
      </c>
      <c r="B47" s="495">
        <f t="shared" si="2"/>
        <v>2.6446662705371082</v>
      </c>
      <c r="C47" s="496">
        <f>+'GVA-productivity4'!N61</f>
        <v>1.0088311627471922</v>
      </c>
      <c r="D47" s="497">
        <f>+'GVA-productivity4'!G48</f>
        <v>6773</v>
      </c>
      <c r="E47" s="497">
        <f>+'GVA-productivity4'!H48</f>
        <v>9008</v>
      </c>
      <c r="F47" s="496">
        <f>+'GVA-productivity4'!M48</f>
        <v>16.950722026178141</v>
      </c>
      <c r="G47" s="496">
        <f>+'GVA-productivity4'!N48</f>
        <v>19.59538829671525</v>
      </c>
      <c r="H47" s="4"/>
      <c r="I47" s="4"/>
      <c r="J47" s="4"/>
      <c r="K47" s="6"/>
      <c r="L47" s="4"/>
      <c r="M47" s="4"/>
      <c r="N47" s="4"/>
      <c r="O47" s="4"/>
      <c r="P47" s="4"/>
    </row>
    <row r="48" spans="1:16" x14ac:dyDescent="0.25">
      <c r="A48" s="88" t="s">
        <v>316</v>
      </c>
      <c r="B48" s="499">
        <f t="shared" si="2"/>
        <v>0</v>
      </c>
      <c r="C48" s="500">
        <f>+'GVA-productivity4'!N63</f>
        <v>1</v>
      </c>
      <c r="D48" s="501">
        <f>+'GVA-productivity4'!G50</f>
        <v>39957</v>
      </c>
      <c r="E48" s="501">
        <f>+'GVA-productivity4'!H50</f>
        <v>45970</v>
      </c>
      <c r="F48" s="500">
        <f>+'GVA-productivity4'!M50</f>
        <v>100</v>
      </c>
      <c r="G48" s="500">
        <f>+'GVA-productivity4'!N50</f>
        <v>100</v>
      </c>
      <c r="H48" s="4"/>
      <c r="I48" s="4"/>
      <c r="J48" s="4"/>
      <c r="K48" s="6"/>
      <c r="L48" s="4"/>
      <c r="M48" s="4"/>
      <c r="N48" s="4"/>
      <c r="O48" s="4"/>
      <c r="P48" s="4"/>
    </row>
    <row r="49" spans="1:16" x14ac:dyDescent="0.25">
      <c r="A49" s="59" t="s">
        <v>49</v>
      </c>
      <c r="B49" s="502"/>
      <c r="C49" s="502"/>
      <c r="D49" s="503">
        <f>SUM(D41:D47)</f>
        <v>39957</v>
      </c>
      <c r="E49" s="503">
        <f>SUM(E41:E47)</f>
        <v>45970</v>
      </c>
      <c r="F49" s="504">
        <f>SUM(F41:F47)</f>
        <v>100</v>
      </c>
      <c r="G49" s="504">
        <f>SUM(G41:G47)</f>
        <v>100</v>
      </c>
      <c r="H49" s="4"/>
      <c r="I49" s="4"/>
      <c r="J49" s="4"/>
      <c r="K49" s="6"/>
      <c r="L49" s="4"/>
      <c r="M49" s="4"/>
      <c r="N49" s="4"/>
      <c r="O49" s="4"/>
      <c r="P49" s="4"/>
    </row>
    <row r="56" spans="1:16" ht="40.799999999999997" x14ac:dyDescent="0.25">
      <c r="A56" s="492" t="s">
        <v>308</v>
      </c>
      <c r="B56" s="508" t="s">
        <v>42</v>
      </c>
      <c r="C56" s="507" t="s">
        <v>10</v>
      </c>
      <c r="D56" s="338" t="s">
        <v>312</v>
      </c>
      <c r="E56" s="339"/>
      <c r="F56" s="338" t="s">
        <v>313</v>
      </c>
      <c r="G56" s="339"/>
    </row>
    <row r="57" spans="1:16" ht="12" customHeight="1" x14ac:dyDescent="0.25">
      <c r="A57" s="493"/>
      <c r="B57" s="94" t="s">
        <v>308</v>
      </c>
      <c r="C57" s="95">
        <v>2013</v>
      </c>
      <c r="D57" s="96">
        <v>2010</v>
      </c>
      <c r="E57" s="96">
        <v>2013</v>
      </c>
      <c r="F57" s="96">
        <v>2010</v>
      </c>
      <c r="G57" s="96">
        <v>2013</v>
      </c>
    </row>
    <row r="58" spans="1:16" x14ac:dyDescent="0.25">
      <c r="A58" s="494" t="s">
        <v>14</v>
      </c>
      <c r="B58" s="495">
        <f t="shared" ref="B58:B65" si="3">+G58-F58</f>
        <v>-3.5462784600622967</v>
      </c>
      <c r="C58" s="496">
        <f>+'GVA-productivity4'!O55</f>
        <v>0.55858189267978131</v>
      </c>
      <c r="D58" s="497">
        <f>+'GVA-productivity4'!H42</f>
        <v>20045</v>
      </c>
      <c r="E58" s="497">
        <f>+'GVA-productivity4'!I42</f>
        <v>20082</v>
      </c>
      <c r="F58" s="496">
        <f>+'GVA-productivity4'!N42</f>
        <v>43.604524690015225</v>
      </c>
      <c r="G58" s="496">
        <f>+'GVA-productivity4'!O42</f>
        <v>40.058246229952928</v>
      </c>
    </row>
    <row r="59" spans="1:16" x14ac:dyDescent="0.25">
      <c r="A59" s="494" t="s">
        <v>315</v>
      </c>
      <c r="B59" s="495">
        <f t="shared" si="3"/>
        <v>8.2790873034931156E-2</v>
      </c>
      <c r="C59" s="496">
        <f>+'GVA-productivity4'!O56</f>
        <v>3.4077940929722357</v>
      </c>
      <c r="D59" s="497">
        <f>+'GVA-productivity4'!H43</f>
        <v>624</v>
      </c>
      <c r="E59" s="497">
        <f>+'GVA-productivity4'!I43</f>
        <v>722</v>
      </c>
      <c r="F59" s="496">
        <f>+'GVA-productivity4'!N43</f>
        <v>1.3574070045681965</v>
      </c>
      <c r="G59" s="496">
        <f>+'GVA-productivity4'!O43</f>
        <v>1.4401978776031277</v>
      </c>
    </row>
    <row r="60" spans="1:16" x14ac:dyDescent="0.25">
      <c r="A60" s="494" t="s">
        <v>20</v>
      </c>
      <c r="B60" s="495">
        <f t="shared" si="3"/>
        <v>0.72306470066294981</v>
      </c>
      <c r="C60" s="496">
        <f>+'GVA-productivity4'!O57</f>
        <v>1.1804875287442294</v>
      </c>
      <c r="D60" s="497">
        <f>+'GVA-productivity4'!H44</f>
        <v>3021</v>
      </c>
      <c r="E60" s="497">
        <f>+'GVA-productivity4'!I44</f>
        <v>3657</v>
      </c>
      <c r="F60" s="496">
        <f>+'GVA-productivity4'!N44</f>
        <v>6.5716771807700676</v>
      </c>
      <c r="G60" s="496">
        <f>+'GVA-productivity4'!O44</f>
        <v>7.2947418814330174</v>
      </c>
    </row>
    <row r="61" spans="1:16" x14ac:dyDescent="0.25">
      <c r="A61" s="494" t="s">
        <v>22</v>
      </c>
      <c r="B61" s="495">
        <f t="shared" si="3"/>
        <v>4.698355532171683E-2</v>
      </c>
      <c r="C61" s="496">
        <f>+'GVA-productivity4'!O58</f>
        <v>2.2957861176872854</v>
      </c>
      <c r="D61" s="497">
        <f>+'GVA-productivity4'!H45</f>
        <v>756</v>
      </c>
      <c r="E61" s="497">
        <f>+'GVA-productivity4'!I45</f>
        <v>848</v>
      </c>
      <c r="F61" s="496">
        <f>+'GVA-productivity4'!N45</f>
        <v>1.6445507939960844</v>
      </c>
      <c r="G61" s="496">
        <f>+'GVA-productivity4'!O45</f>
        <v>1.6915343493178012</v>
      </c>
    </row>
    <row r="62" spans="1:16" x14ac:dyDescent="0.25">
      <c r="A62" s="494" t="s">
        <v>290</v>
      </c>
      <c r="B62" s="495">
        <f t="shared" si="3"/>
        <v>1.023864064347606</v>
      </c>
      <c r="C62" s="496">
        <f>+'GVA-productivity4'!O59</f>
        <v>0.88140723228459639</v>
      </c>
      <c r="D62" s="497">
        <f>+'GVA-productivity4'!H46</f>
        <v>10788</v>
      </c>
      <c r="E62" s="497">
        <f>+'GVA-productivity4'!I46</f>
        <v>12278</v>
      </c>
      <c r="F62" s="496">
        <f>+'GVA-productivity4'!N46</f>
        <v>23.467478790515553</v>
      </c>
      <c r="G62" s="496">
        <f>+'GVA-productivity4'!O46</f>
        <v>24.491342854863159</v>
      </c>
    </row>
    <row r="63" spans="1:16" x14ac:dyDescent="0.25">
      <c r="A63" s="498" t="s">
        <v>291</v>
      </c>
      <c r="B63" s="495">
        <f t="shared" si="3"/>
        <v>0.26839450572264312</v>
      </c>
      <c r="C63" s="496">
        <f>+'GVA-productivity4'!O60</f>
        <v>4.5490699548312934</v>
      </c>
      <c r="D63" s="497">
        <f>+'GVA-productivity4'!H47</f>
        <v>1728</v>
      </c>
      <c r="E63" s="497">
        <f>+'GVA-productivity4'!I47</f>
        <v>2019</v>
      </c>
      <c r="F63" s="496">
        <f>+'GVA-productivity4'!N47</f>
        <v>3.7589732434196215</v>
      </c>
      <c r="G63" s="496">
        <f>+'GVA-productivity4'!O47</f>
        <v>4.0273677491422646</v>
      </c>
    </row>
    <row r="64" spans="1:16" x14ac:dyDescent="0.25">
      <c r="A64" s="494" t="s">
        <v>292</v>
      </c>
      <c r="B64" s="495">
        <f t="shared" si="3"/>
        <v>1.4011807609724549</v>
      </c>
      <c r="C64" s="496">
        <f>+'GVA-productivity4'!O61</f>
        <v>0.96748730181147169</v>
      </c>
      <c r="D64" s="497">
        <f>+'GVA-productivity4'!H48</f>
        <v>9008</v>
      </c>
      <c r="E64" s="497">
        <f>+'GVA-productivity4'!I48</f>
        <v>10526</v>
      </c>
      <c r="F64" s="496">
        <f>+'GVA-productivity4'!N48</f>
        <v>19.59538829671525</v>
      </c>
      <c r="G64" s="496">
        <f>+'GVA-productivity4'!O48</f>
        <v>20.996569057687704</v>
      </c>
    </row>
    <row r="65" spans="1:7" x14ac:dyDescent="0.25">
      <c r="A65" s="88" t="s">
        <v>316</v>
      </c>
      <c r="B65" s="499">
        <f t="shared" si="3"/>
        <v>0</v>
      </c>
      <c r="C65" s="500">
        <f>+'GVA-productivity4'!O63</f>
        <v>1</v>
      </c>
      <c r="D65" s="501">
        <f>+'GVA-productivity4'!H50</f>
        <v>45970</v>
      </c>
      <c r="E65" s="501">
        <f>+'GVA-productivity4'!I50</f>
        <v>50132</v>
      </c>
      <c r="F65" s="500">
        <f>+'GVA-productivity4'!N50</f>
        <v>100</v>
      </c>
      <c r="G65" s="500">
        <f>+'GVA-productivity4'!O50</f>
        <v>100</v>
      </c>
    </row>
    <row r="66" spans="1:7" x14ac:dyDescent="0.25">
      <c r="A66" s="59" t="s">
        <v>49</v>
      </c>
      <c r="B66" s="502"/>
      <c r="C66" s="502"/>
      <c r="D66" s="503">
        <f>SUM(D58:D64)</f>
        <v>45970</v>
      </c>
      <c r="E66" s="503">
        <f>SUM(E58:E64)</f>
        <v>50132</v>
      </c>
      <c r="F66" s="504">
        <f>SUM(F58:F64)</f>
        <v>100</v>
      </c>
      <c r="G66" s="504">
        <f>SUM(G58:G64)</f>
        <v>100</v>
      </c>
    </row>
  </sheetData>
  <mergeCells count="12">
    <mergeCell ref="A39:A40"/>
    <mergeCell ref="D39:E39"/>
    <mergeCell ref="F39:G39"/>
    <mergeCell ref="A56:A57"/>
    <mergeCell ref="D56:E56"/>
    <mergeCell ref="F56:G56"/>
    <mergeCell ref="A5:A6"/>
    <mergeCell ref="D5:E5"/>
    <mergeCell ref="F5:G5"/>
    <mergeCell ref="A22:A23"/>
    <mergeCell ref="D22:E22"/>
    <mergeCell ref="F22:G2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49"/>
  <sheetViews>
    <sheetView showGridLines="0" workbookViewId="0">
      <selection activeCell="A2" sqref="A2"/>
    </sheetView>
  </sheetViews>
  <sheetFormatPr defaultRowHeight="12" x14ac:dyDescent="0.25"/>
  <cols>
    <col min="1" max="1" width="28.140625" customWidth="1"/>
    <col min="2" max="6" width="12.85546875" customWidth="1"/>
    <col min="7" max="7" width="3.42578125" customWidth="1"/>
  </cols>
  <sheetData>
    <row r="1" spans="1:6" ht="14.4" x14ac:dyDescent="0.3">
      <c r="A1" s="115" t="s">
        <v>50</v>
      </c>
      <c r="B1" s="98"/>
      <c r="C1" s="99"/>
      <c r="D1" s="99"/>
      <c r="E1" s="99"/>
      <c r="F1" s="99"/>
    </row>
    <row r="2" spans="1:6" ht="11.25" customHeight="1" x14ac:dyDescent="0.25">
      <c r="A2" s="304" t="s">
        <v>324</v>
      </c>
      <c r="B2" s="98"/>
      <c r="C2" s="99"/>
      <c r="D2" s="99"/>
      <c r="E2" s="99"/>
      <c r="F2" s="99"/>
    </row>
    <row r="3" spans="1:6" ht="11.25" customHeight="1" x14ac:dyDescent="0.25">
      <c r="A3" s="490"/>
      <c r="B3" s="98"/>
      <c r="C3" s="99"/>
      <c r="D3" s="99"/>
      <c r="E3" s="99"/>
      <c r="F3" s="99"/>
    </row>
    <row r="4" spans="1:6" ht="24" x14ac:dyDescent="0.25">
      <c r="A4" s="112"/>
      <c r="B4" s="137" t="s">
        <v>54</v>
      </c>
      <c r="C4" s="137" t="s">
        <v>55</v>
      </c>
      <c r="D4" s="99"/>
    </row>
    <row r="5" spans="1:6" ht="11.25" customHeight="1" x14ac:dyDescent="0.25">
      <c r="A5" s="136" t="s">
        <v>307</v>
      </c>
      <c r="B5" s="509">
        <f>+F19</f>
        <v>1.4260835287218331E-4</v>
      </c>
      <c r="C5" s="509">
        <f>+B19-F19</f>
        <v>9.3105491870180469E-4</v>
      </c>
      <c r="D5" s="99"/>
    </row>
    <row r="6" spans="1:6" ht="11.25" customHeight="1" x14ac:dyDescent="0.25">
      <c r="A6" s="136" t="s">
        <v>12</v>
      </c>
      <c r="B6" s="509">
        <f>+F29</f>
        <v>0.10153374331299418</v>
      </c>
      <c r="C6" s="509">
        <f>+B29-F29</f>
        <v>-1.8701439401392503E-2</v>
      </c>
      <c r="D6" s="99"/>
    </row>
    <row r="7" spans="1:6" ht="11.25" customHeight="1" x14ac:dyDescent="0.25">
      <c r="A7" s="136" t="s">
        <v>13</v>
      </c>
      <c r="B7" s="509">
        <f>+F39</f>
        <v>5.8804995659280011E-2</v>
      </c>
      <c r="C7" s="509">
        <f>+B39-F39</f>
        <v>-7.4050702678631758E-4</v>
      </c>
      <c r="D7" s="99"/>
    </row>
    <row r="8" spans="1:6" ht="11.25" customHeight="1" x14ac:dyDescent="0.25">
      <c r="A8" s="136" t="s">
        <v>308</v>
      </c>
      <c r="B8" s="509">
        <f>+F49</f>
        <v>2.8946505087765226E-2</v>
      </c>
      <c r="C8" s="509">
        <f>+B49-F49</f>
        <v>-7.7457034411542482E-3</v>
      </c>
      <c r="D8" s="99"/>
      <c r="E8" s="510"/>
      <c r="F8" s="510"/>
    </row>
    <row r="9" spans="1:6" s="135" customFormat="1" ht="11.25" customHeight="1" x14ac:dyDescent="0.3">
      <c r="A9" s="130"/>
      <c r="B9" s="131"/>
      <c r="C9" s="132"/>
      <c r="D9" s="132"/>
      <c r="E9" s="256"/>
      <c r="F9" s="257"/>
    </row>
    <row r="10" spans="1:6" ht="49.8" customHeight="1" x14ac:dyDescent="0.25">
      <c r="A10" s="511"/>
      <c r="B10" s="136" t="s">
        <v>51</v>
      </c>
      <c r="C10" s="136" t="s">
        <v>52</v>
      </c>
      <c r="D10" s="136" t="s">
        <v>52</v>
      </c>
      <c r="E10" s="136" t="s">
        <v>53</v>
      </c>
      <c r="F10" s="137" t="s">
        <v>54</v>
      </c>
    </row>
    <row r="11" spans="1:6" ht="12.6" customHeight="1" x14ac:dyDescent="0.25">
      <c r="A11" s="512" t="s">
        <v>307</v>
      </c>
      <c r="B11" s="138" t="s">
        <v>307</v>
      </c>
      <c r="C11" s="138" t="s">
        <v>314</v>
      </c>
      <c r="D11" s="138" t="s">
        <v>45</v>
      </c>
      <c r="E11" s="138" t="s">
        <v>317</v>
      </c>
      <c r="F11" s="102" t="s">
        <v>238</v>
      </c>
    </row>
    <row r="12" spans="1:6" x14ac:dyDescent="0.25">
      <c r="A12" s="494" t="s">
        <v>14</v>
      </c>
      <c r="B12" s="66">
        <f>+'GVA-productivity4'!K69</f>
        <v>1.1683364304049926E-2</v>
      </c>
      <c r="C12" s="66">
        <f>(+'GVA-productivity4'!K42)/100</f>
        <v>0.5012769828219571</v>
      </c>
      <c r="D12" s="66">
        <f>(+'GVA-productivity4'!L42)/100</f>
        <v>0.48766360345307708</v>
      </c>
      <c r="E12" s="513">
        <f t="shared" ref="E12:E19" si="0">+D12-C12</f>
        <v>-1.3613379368880019E-2</v>
      </c>
      <c r="F12" s="514">
        <f t="shared" ref="F12:F18" si="1">+B12*C12</f>
        <v>5.8566016075439009E-3</v>
      </c>
    </row>
    <row r="13" spans="1:6" x14ac:dyDescent="0.25">
      <c r="A13" s="494" t="s">
        <v>315</v>
      </c>
      <c r="B13" s="66">
        <f>+'GVA-productivity4'!K70</f>
        <v>-9.9262382461489107E-3</v>
      </c>
      <c r="C13" s="66">
        <f>(+'GVA-productivity4'!K43)/100</f>
        <v>4.4082146730574116E-3</v>
      </c>
      <c r="D13" s="66">
        <f>(+'GVA-productivity4'!L43)/100</f>
        <v>4.6783625730994153E-3</v>
      </c>
      <c r="E13" s="513">
        <f t="shared" si="0"/>
        <v>2.701479000420037E-4</v>
      </c>
      <c r="F13" s="514">
        <f t="shared" si="1"/>
        <v>-4.3756989084937297E-5</v>
      </c>
    </row>
    <row r="14" spans="1:6" x14ac:dyDescent="0.25">
      <c r="A14" s="494" t="s">
        <v>20</v>
      </c>
      <c r="B14" s="66">
        <f>+'GVA-productivity4'!K71</f>
        <v>-3.296418335132334E-2</v>
      </c>
      <c r="C14" s="66">
        <f>(+'GVA-productivity4'!K44)/100</f>
        <v>0.12259035090788231</v>
      </c>
      <c r="D14" s="66">
        <f>(+'GVA-productivity4'!L44)/100</f>
        <v>0.1145920356446672</v>
      </c>
      <c r="E14" s="513">
        <f t="shared" si="0"/>
        <v>-7.9983152632151083E-3</v>
      </c>
      <c r="F14" s="514">
        <f t="shared" si="1"/>
        <v>-4.0410908044305003E-3</v>
      </c>
    </row>
    <row r="15" spans="1:6" x14ac:dyDescent="0.25">
      <c r="A15" s="494" t="s">
        <v>22</v>
      </c>
      <c r="B15" s="66">
        <f>+'GVA-productivity4'!K72</f>
        <v>7.7874202918692959E-3</v>
      </c>
      <c r="C15" s="66">
        <f>(+'GVA-productivity4'!K45)/100</f>
        <v>1.1160480005597733E-2</v>
      </c>
      <c r="D15" s="66">
        <f>(+'GVA-productivity4'!L45)/100</f>
        <v>1.1779448621553884E-2</v>
      </c>
      <c r="E15" s="513">
        <f t="shared" si="0"/>
        <v>6.1896861595615166E-4</v>
      </c>
      <c r="F15" s="514">
        <f t="shared" si="1"/>
        <v>8.6911348462593343E-5</v>
      </c>
    </row>
    <row r="16" spans="1:6" x14ac:dyDescent="0.25">
      <c r="A16" s="494" t="s">
        <v>290</v>
      </c>
      <c r="B16" s="66">
        <f>+'GVA-productivity4'!K73</f>
        <v>-1.3175494241965291E-2</v>
      </c>
      <c r="C16" s="66">
        <f>(+'GVA-productivity4'!K46)/100</f>
        <v>0.20298778994507224</v>
      </c>
      <c r="D16" s="66">
        <f>(+'GVA-productivity4'!L46)/100</f>
        <v>0.21267056530214426</v>
      </c>
      <c r="E16" s="513">
        <f t="shared" si="0"/>
        <v>9.6827753570720154E-3</v>
      </c>
      <c r="F16" s="514">
        <f t="shared" si="1"/>
        <v>-2.6744644576105593E-3</v>
      </c>
    </row>
    <row r="17" spans="1:6" x14ac:dyDescent="0.25">
      <c r="A17" s="498" t="s">
        <v>291</v>
      </c>
      <c r="B17" s="66">
        <f>+'GVA-productivity4'!K74</f>
        <v>-1.5249726964755572E-3</v>
      </c>
      <c r="C17" s="66">
        <f>(+'GVA-productivity4'!K47)/100</f>
        <v>2.1201413427561835E-2</v>
      </c>
      <c r="D17" s="66">
        <f>(+'GVA-productivity4'!L47)/100</f>
        <v>2.3308270676691733E-2</v>
      </c>
      <c r="E17" s="513">
        <f t="shared" si="0"/>
        <v>2.1068572491298974E-3</v>
      </c>
      <c r="F17" s="514">
        <f t="shared" si="1"/>
        <v>-3.2331576603722057E-5</v>
      </c>
    </row>
    <row r="18" spans="1:6" x14ac:dyDescent="0.25">
      <c r="A18" s="494" t="s">
        <v>292</v>
      </c>
      <c r="B18" s="66">
        <f>+'GVA-productivity4'!K75</f>
        <v>7.2648279262725879E-3</v>
      </c>
      <c r="C18" s="66">
        <f>(+'GVA-productivity4'!K48)/100</f>
        <v>0.13637476821887135</v>
      </c>
      <c r="D18" s="66">
        <f>(+'GVA-productivity4'!L48)/100</f>
        <v>0.14530771372876636</v>
      </c>
      <c r="E18" s="513">
        <f t="shared" si="0"/>
        <v>8.9329455098950128E-3</v>
      </c>
      <c r="F18" s="514">
        <f t="shared" si="1"/>
        <v>9.9073922459540784E-4</v>
      </c>
    </row>
    <row r="19" spans="1:6" s="227" customFormat="1" x14ac:dyDescent="0.25">
      <c r="A19" s="515" t="s">
        <v>113</v>
      </c>
      <c r="B19" s="126">
        <f>+'GVA-productivity4'!K77</f>
        <v>1.073663271573988E-3</v>
      </c>
      <c r="C19" s="126">
        <f>(+'GVA-productivity4'!K50)/100</f>
        <v>0.99999999999999989</v>
      </c>
      <c r="D19" s="126">
        <f>(+'GVA-productivity4'!L50)/100</f>
        <v>1</v>
      </c>
      <c r="E19" s="516">
        <f t="shared" si="0"/>
        <v>0</v>
      </c>
      <c r="F19" s="509">
        <f>SUM(F12:F18)</f>
        <v>1.4260835287218331E-4</v>
      </c>
    </row>
    <row r="20" spans="1:6" x14ac:dyDescent="0.25">
      <c r="A20" s="110"/>
      <c r="B20" s="111"/>
      <c r="C20" s="111"/>
      <c r="D20" s="111"/>
      <c r="E20" s="110"/>
      <c r="F20" s="110"/>
    </row>
    <row r="21" spans="1:6" ht="14.4" x14ac:dyDescent="0.25">
      <c r="A21" s="517" t="s">
        <v>12</v>
      </c>
      <c r="B21" s="138" t="s">
        <v>12</v>
      </c>
      <c r="C21" s="138">
        <v>2000</v>
      </c>
      <c r="D21" s="138">
        <v>2005</v>
      </c>
      <c r="E21" s="138" t="s">
        <v>58</v>
      </c>
      <c r="F21" s="102" t="s">
        <v>238</v>
      </c>
    </row>
    <row r="22" spans="1:6" x14ac:dyDescent="0.25">
      <c r="A22" s="494" t="s">
        <v>14</v>
      </c>
      <c r="B22" s="66">
        <f>+'GVA-productivity4'!L69</f>
        <v>0.12716098592608227</v>
      </c>
      <c r="C22" s="66">
        <f>(+'GVA-productivity4'!L42)/100</f>
        <v>0.48766360345307708</v>
      </c>
      <c r="D22" s="66">
        <f>(+'GVA-productivity4'!M42)/100</f>
        <v>0.47273318817729065</v>
      </c>
      <c r="E22" s="513">
        <f>+D22-C22</f>
        <v>-1.4930415275786424E-2</v>
      </c>
      <c r="F22" s="514">
        <f>+B22*C22</f>
        <v>6.2011784615359299E-2</v>
      </c>
    </row>
    <row r="23" spans="1:6" x14ac:dyDescent="0.25">
      <c r="A23" s="494" t="s">
        <v>315</v>
      </c>
      <c r="B23" s="66">
        <f>+'GVA-productivity4'!L70</f>
        <v>-3.0923966284268301E-2</v>
      </c>
      <c r="C23" s="66">
        <f>(+'GVA-productivity4'!L43)/100</f>
        <v>4.6783625730994153E-3</v>
      </c>
      <c r="D23" s="66">
        <f>(+'GVA-productivity4'!M43)/100</f>
        <v>6.2817528843506767E-3</v>
      </c>
      <c r="E23" s="513">
        <f t="shared" ref="E23:E29" si="2">+D23-C23</f>
        <v>1.6033903112512614E-3</v>
      </c>
      <c r="F23" s="514">
        <f t="shared" ref="F23:F28" si="3">+B23*C23</f>
        <v>-1.4467352647610902E-4</v>
      </c>
    </row>
    <row r="24" spans="1:6" x14ac:dyDescent="0.25">
      <c r="A24" s="494" t="s">
        <v>20</v>
      </c>
      <c r="B24" s="66">
        <f>+'GVA-productivity4'!L71</f>
        <v>0.13846605919930788</v>
      </c>
      <c r="C24" s="66">
        <f>(+'GVA-productivity4'!L44)/100</f>
        <v>0.1145920356446672</v>
      </c>
      <c r="D24" s="66">
        <f>(+'GVA-productivity4'!M44)/100</f>
        <v>8.2188352478914831E-2</v>
      </c>
      <c r="E24" s="513">
        <f t="shared" si="2"/>
        <v>-3.2403683165752373E-2</v>
      </c>
      <c r="F24" s="514">
        <f t="shared" si="3"/>
        <v>1.5867107591343688E-2</v>
      </c>
    </row>
    <row r="25" spans="1:6" x14ac:dyDescent="0.25">
      <c r="A25" s="494" t="s">
        <v>22</v>
      </c>
      <c r="B25" s="66">
        <f>+'GVA-productivity4'!L72</f>
        <v>-1.146377116444941E-3</v>
      </c>
      <c r="C25" s="66">
        <f>(+'GVA-productivity4'!L45)/100</f>
        <v>1.1779448621553884E-2</v>
      </c>
      <c r="D25" s="66">
        <f>(+'GVA-productivity4'!M45)/100</f>
        <v>1.4140200715769453E-2</v>
      </c>
      <c r="E25" s="513">
        <f t="shared" si="2"/>
        <v>2.3607520942155683E-3</v>
      </c>
      <c r="F25" s="514">
        <f t="shared" si="3"/>
        <v>-1.3503690344088277E-5</v>
      </c>
    </row>
    <row r="26" spans="1:6" x14ac:dyDescent="0.25">
      <c r="A26" s="494" t="s">
        <v>290</v>
      </c>
      <c r="B26" s="66">
        <f>+'GVA-productivity4'!L73</f>
        <v>8.9677952510725412E-2</v>
      </c>
      <c r="C26" s="66">
        <f>(+'GVA-productivity4'!L46)/100</f>
        <v>0.21267056530214426</v>
      </c>
      <c r="D26" s="66">
        <f>(+'GVA-productivity4'!M46)/100</f>
        <v>0.22539229671897287</v>
      </c>
      <c r="E26" s="513">
        <f t="shared" si="2"/>
        <v>1.2721731416828613E-2</v>
      </c>
      <c r="F26" s="514">
        <f t="shared" si="3"/>
        <v>1.907186085559482E-2</v>
      </c>
    </row>
    <row r="27" spans="1:6" x14ac:dyDescent="0.25">
      <c r="A27" s="498" t="s">
        <v>291</v>
      </c>
      <c r="B27" s="66">
        <f>+'GVA-productivity4'!L74</f>
        <v>0.15168569318943703</v>
      </c>
      <c r="C27" s="66">
        <f>(+'GVA-productivity4'!L47)/100</f>
        <v>2.3308270676691733E-2</v>
      </c>
      <c r="D27" s="66">
        <f>(+'GVA-productivity4'!M47)/100</f>
        <v>2.9756988762920142E-2</v>
      </c>
      <c r="E27" s="513">
        <f t="shared" si="2"/>
        <v>6.4487180862284089E-3</v>
      </c>
      <c r="F27" s="514">
        <f t="shared" si="3"/>
        <v>3.535531194641014E-3</v>
      </c>
    </row>
    <row r="28" spans="1:6" x14ac:dyDescent="0.25">
      <c r="A28" s="494" t="s">
        <v>292</v>
      </c>
      <c r="B28" s="66">
        <f>+'GVA-productivity4'!L75</f>
        <v>8.2971250592107637E-3</v>
      </c>
      <c r="C28" s="66">
        <f>(+'GVA-productivity4'!L48)/100</f>
        <v>0.14530771372876636</v>
      </c>
      <c r="D28" s="66">
        <f>(+'GVA-productivity4'!M48)/100</f>
        <v>0.16950722026178142</v>
      </c>
      <c r="E28" s="513">
        <f t="shared" si="2"/>
        <v>2.4199506533015058E-2</v>
      </c>
      <c r="F28" s="514">
        <f t="shared" si="3"/>
        <v>1.2056362728755713E-3</v>
      </c>
    </row>
    <row r="29" spans="1:6" s="227" customFormat="1" x14ac:dyDescent="0.25">
      <c r="A29" s="515" t="s">
        <v>113</v>
      </c>
      <c r="B29" s="126">
        <f>+'GVA-productivity4'!L77</f>
        <v>8.2832303911601679E-2</v>
      </c>
      <c r="C29" s="126">
        <f>(+'GVA-productivity4'!L50)/100</f>
        <v>1</v>
      </c>
      <c r="D29" s="126">
        <f>(+'GVA-productivity4'!M50)/100</f>
        <v>1</v>
      </c>
      <c r="E29" s="518">
        <f t="shared" si="2"/>
        <v>0</v>
      </c>
      <c r="F29" s="71">
        <f>SUM(F22:F28)</f>
        <v>0.10153374331299418</v>
      </c>
    </row>
    <row r="30" spans="1:6" x14ac:dyDescent="0.25">
      <c r="A30" s="110"/>
      <c r="B30" s="111"/>
      <c r="C30" s="111"/>
      <c r="D30" s="111"/>
      <c r="E30" s="99"/>
      <c r="F30" s="99"/>
    </row>
    <row r="31" spans="1:6" ht="14.4" x14ac:dyDescent="0.25">
      <c r="A31" s="517" t="s">
        <v>13</v>
      </c>
      <c r="B31" s="138" t="s">
        <v>13</v>
      </c>
      <c r="C31" s="138">
        <v>2005</v>
      </c>
      <c r="D31" s="138">
        <v>2010</v>
      </c>
      <c r="E31" s="138" t="s">
        <v>59</v>
      </c>
      <c r="F31" s="102" t="s">
        <v>238</v>
      </c>
    </row>
    <row r="32" spans="1:6" x14ac:dyDescent="0.25">
      <c r="A32" s="494" t="s">
        <v>14</v>
      </c>
      <c r="B32" s="66">
        <f>+'GVA-productivity4'!M69</f>
        <v>5.2526473551787412E-2</v>
      </c>
      <c r="C32" s="66">
        <f>(+'GVA-productivity4'!M42)/100</f>
        <v>0.47273318817729065</v>
      </c>
      <c r="D32" s="66">
        <f>(+'GVA-productivity4'!N42)/100</f>
        <v>0.43604524690015223</v>
      </c>
      <c r="E32" s="513">
        <f>+D32-C32</f>
        <v>-3.6687941277138425E-2</v>
      </c>
      <c r="F32" s="514">
        <f>+B32*C32</f>
        <v>2.48310073058466E-2</v>
      </c>
    </row>
    <row r="33" spans="1:6" x14ac:dyDescent="0.25">
      <c r="A33" s="494" t="s">
        <v>315</v>
      </c>
      <c r="B33" s="66">
        <f>+'GVA-productivity4'!M70</f>
        <v>-0.19493232005358785</v>
      </c>
      <c r="C33" s="66">
        <f>(+'GVA-productivity4'!M43)/100</f>
        <v>6.2817528843506767E-3</v>
      </c>
      <c r="D33" s="66">
        <f>(+'GVA-productivity4'!N43)/100</f>
        <v>1.3574070045681966E-2</v>
      </c>
      <c r="E33" s="513">
        <f t="shared" ref="E33:E39" si="4">+D33-C33</f>
        <v>7.292317161331289E-3</v>
      </c>
      <c r="F33" s="514">
        <f t="shared" ref="F33:F38" si="5">+B33*C33</f>
        <v>-1.2245166637497946E-3</v>
      </c>
    </row>
    <row r="34" spans="1:6" x14ac:dyDescent="0.25">
      <c r="A34" s="494" t="s">
        <v>20</v>
      </c>
      <c r="B34" s="66">
        <f>+'GVA-productivity4'!M71</f>
        <v>0.10481241841344602</v>
      </c>
      <c r="C34" s="66">
        <f>(+'GVA-productivity4'!M44)/100</f>
        <v>8.2188352478914831E-2</v>
      </c>
      <c r="D34" s="66">
        <f>(+'GVA-productivity4'!N44)/100</f>
        <v>6.5716771807700677E-2</v>
      </c>
      <c r="E34" s="513">
        <f t="shared" si="4"/>
        <v>-1.6471580671214153E-2</v>
      </c>
      <c r="F34" s="514">
        <f t="shared" si="5"/>
        <v>8.614359988731805E-3</v>
      </c>
    </row>
    <row r="35" spans="1:6" x14ac:dyDescent="0.25">
      <c r="A35" s="494" t="s">
        <v>22</v>
      </c>
      <c r="B35" s="66">
        <f>+'GVA-productivity4'!M72</f>
        <v>6.2126966205070078E-2</v>
      </c>
      <c r="C35" s="66">
        <f>(+'GVA-productivity4'!M45)/100</f>
        <v>1.4140200715769453E-2</v>
      </c>
      <c r="D35" s="66">
        <f>(+'GVA-productivity4'!N45)/100</f>
        <v>1.6445507939960843E-2</v>
      </c>
      <c r="E35" s="513">
        <f t="shared" si="4"/>
        <v>2.3053072241913906E-3</v>
      </c>
      <c r="F35" s="514">
        <f t="shared" si="5"/>
        <v>8.7848777200151649E-4</v>
      </c>
    </row>
    <row r="36" spans="1:6" x14ac:dyDescent="0.25">
      <c r="A36" s="494" t="s">
        <v>290</v>
      </c>
      <c r="B36" s="66">
        <f>+'GVA-productivity4'!M73</f>
        <v>9.3774365317468522E-2</v>
      </c>
      <c r="C36" s="66">
        <f>(+'GVA-productivity4'!M46)/100</f>
        <v>0.22539229671897287</v>
      </c>
      <c r="D36" s="66">
        <f>(+'GVA-productivity4'!N46)/100</f>
        <v>0.23467478790515553</v>
      </c>
      <c r="E36" s="513">
        <f t="shared" si="4"/>
        <v>9.2824911861826565E-3</v>
      </c>
      <c r="F36" s="514">
        <f t="shared" si="5"/>
        <v>2.1136019572268225E-2</v>
      </c>
    </row>
    <row r="37" spans="1:6" x14ac:dyDescent="0.25">
      <c r="A37" s="498" t="s">
        <v>291</v>
      </c>
      <c r="B37" s="66">
        <f>+'GVA-productivity4'!M74</f>
        <v>0.10703553182532999</v>
      </c>
      <c r="C37" s="66">
        <f>(+'GVA-productivity4'!M47)/100</f>
        <v>2.9756988762920142E-2</v>
      </c>
      <c r="D37" s="66">
        <f>(+'GVA-productivity4'!N47)/100</f>
        <v>3.7589732434196214E-2</v>
      </c>
      <c r="E37" s="513">
        <f t="shared" si="4"/>
        <v>7.8327436712760726E-3</v>
      </c>
      <c r="F37" s="514">
        <f t="shared" si="5"/>
        <v>3.1850551177595257E-3</v>
      </c>
    </row>
    <row r="38" spans="1:6" x14ac:dyDescent="0.25">
      <c r="A38" s="494" t="s">
        <v>292</v>
      </c>
      <c r="B38" s="66">
        <f>+'GVA-productivity4'!M75</f>
        <v>8.1682807628125076E-3</v>
      </c>
      <c r="C38" s="66">
        <f>(+'GVA-productivity4'!M48)/100</f>
        <v>0.16950722026178142</v>
      </c>
      <c r="D38" s="66">
        <f>(+'GVA-productivity4'!N48)/100</f>
        <v>0.19595388296715249</v>
      </c>
      <c r="E38" s="513">
        <f t="shared" si="4"/>
        <v>2.6446662705371077E-2</v>
      </c>
      <c r="F38" s="514">
        <f t="shared" si="5"/>
        <v>1.3845825664221317E-3</v>
      </c>
    </row>
    <row r="39" spans="1:6" s="227" customFormat="1" x14ac:dyDescent="0.25">
      <c r="A39" s="515" t="s">
        <v>113</v>
      </c>
      <c r="B39" s="126">
        <f>+'GVA-productivity4'!M77</f>
        <v>5.8064488632493694E-2</v>
      </c>
      <c r="C39" s="126">
        <f>(+'GVA-productivity4'!M50)/100</f>
        <v>1</v>
      </c>
      <c r="D39" s="126">
        <f>(+'GVA-productivity4'!N50)/100</f>
        <v>1</v>
      </c>
      <c r="E39" s="516">
        <f t="shared" si="4"/>
        <v>0</v>
      </c>
      <c r="F39" s="509">
        <f>SUM(F32:F38)</f>
        <v>5.8804995659280011E-2</v>
      </c>
    </row>
    <row r="40" spans="1:6" x14ac:dyDescent="0.25">
      <c r="A40" s="110"/>
      <c r="B40" s="111"/>
      <c r="C40" s="111"/>
      <c r="D40" s="111"/>
      <c r="E40" s="112"/>
      <c r="F40" s="113"/>
    </row>
    <row r="41" spans="1:6" ht="14.4" x14ac:dyDescent="0.25">
      <c r="A41" s="517" t="s">
        <v>308</v>
      </c>
      <c r="B41" s="138" t="s">
        <v>308</v>
      </c>
      <c r="C41" s="138">
        <v>2010</v>
      </c>
      <c r="D41" s="138">
        <v>2013</v>
      </c>
      <c r="E41" s="138" t="s">
        <v>318</v>
      </c>
      <c r="F41" s="102" t="s">
        <v>238</v>
      </c>
    </row>
    <row r="42" spans="1:6" x14ac:dyDescent="0.25">
      <c r="A42" s="494" t="s">
        <v>14</v>
      </c>
      <c r="B42" s="66">
        <f>+'GVA-productivity4'!N69</f>
        <v>4.1064458113852176E-2</v>
      </c>
      <c r="C42" s="66">
        <f>(+'GVA-productivity4'!N42)/100</f>
        <v>0.43604524690015223</v>
      </c>
      <c r="D42" s="66">
        <f>(+'GVA-productivity4'!O42)/100</f>
        <v>0.40058246229952926</v>
      </c>
      <c r="E42" s="513">
        <f>+D42-C42</f>
        <v>-3.5462784600622965E-2</v>
      </c>
      <c r="F42" s="514">
        <f>+B42*C42</f>
        <v>1.7905961777075631E-2</v>
      </c>
    </row>
    <row r="43" spans="1:6" x14ac:dyDescent="0.25">
      <c r="A43" s="494" t="s">
        <v>315</v>
      </c>
      <c r="B43" s="66">
        <f>+'GVA-productivity4'!N70</f>
        <v>-0.15642596350540594</v>
      </c>
      <c r="C43" s="66">
        <f>(+'GVA-productivity4'!N43)/100</f>
        <v>1.3574070045681966E-2</v>
      </c>
      <c r="D43" s="66">
        <f>(+'GVA-productivity4'!O43)/100</f>
        <v>1.4401978776031277E-2</v>
      </c>
      <c r="E43" s="513">
        <f t="shared" ref="E43:E49" si="6">+D43-C43</f>
        <v>8.2790873034931101E-4</v>
      </c>
      <c r="F43" s="514">
        <f t="shared" ref="F43:F48" si="7">+B43*C43</f>
        <v>-2.1233369855856712E-3</v>
      </c>
    </row>
    <row r="44" spans="1:6" x14ac:dyDescent="0.25">
      <c r="A44" s="494" t="s">
        <v>20</v>
      </c>
      <c r="B44" s="66">
        <f>+'GVA-productivity4'!N71</f>
        <v>0.10382844497327981</v>
      </c>
      <c r="C44" s="66">
        <f>(+'GVA-productivity4'!N44)/100</f>
        <v>6.5716771807700677E-2</v>
      </c>
      <c r="D44" s="66">
        <f>(+'GVA-productivity4'!O44)/100</f>
        <v>7.2947418814330173E-2</v>
      </c>
      <c r="E44" s="513">
        <f t="shared" si="6"/>
        <v>7.2306470066294953E-3</v>
      </c>
      <c r="F44" s="514">
        <f t="shared" si="7"/>
        <v>6.8232702254574359E-3</v>
      </c>
    </row>
    <row r="45" spans="1:6" x14ac:dyDescent="0.25">
      <c r="A45" s="494" t="s">
        <v>22</v>
      </c>
      <c r="B45" s="66">
        <f>+'GVA-productivity4'!N72</f>
        <v>8.8459997374376043E-2</v>
      </c>
      <c r="C45" s="66">
        <f>(+'GVA-productivity4'!N45)/100</f>
        <v>1.6445507939960843E-2</v>
      </c>
      <c r="D45" s="66">
        <f>(+'GVA-productivity4'!O45)/100</f>
        <v>1.6915343493178012E-2</v>
      </c>
      <c r="E45" s="513">
        <f t="shared" si="6"/>
        <v>4.698355532171683E-4</v>
      </c>
      <c r="F45" s="514">
        <f t="shared" si="7"/>
        <v>1.4547695891892166E-3</v>
      </c>
    </row>
    <row r="46" spans="1:6" x14ac:dyDescent="0.25">
      <c r="A46" s="494" t="s">
        <v>290</v>
      </c>
      <c r="B46" s="66">
        <f>+'GVA-productivity4'!N73</f>
        <v>1.6654700204457473E-2</v>
      </c>
      <c r="C46" s="66">
        <f>(+'GVA-productivity4'!N46)/100</f>
        <v>0.23467478790515553</v>
      </c>
      <c r="D46" s="66">
        <f>(+'GVA-productivity4'!O46)/100</f>
        <v>0.2449134285486316</v>
      </c>
      <c r="E46" s="513">
        <f t="shared" si="6"/>
        <v>1.0238640643476071E-2</v>
      </c>
      <c r="F46" s="514">
        <f t="shared" si="7"/>
        <v>3.9084382381050081E-3</v>
      </c>
    </row>
    <row r="47" spans="1:6" x14ac:dyDescent="0.25">
      <c r="A47" s="498" t="s">
        <v>291</v>
      </c>
      <c r="B47" s="66">
        <f>+'GVA-productivity4'!N74</f>
        <v>-1.0778254087416617E-2</v>
      </c>
      <c r="C47" s="66">
        <f>(+'GVA-productivity4'!N47)/100</f>
        <v>3.7589732434196214E-2</v>
      </c>
      <c r="D47" s="66">
        <f>(+'GVA-productivity4'!O47)/100</f>
        <v>4.0273677491422646E-2</v>
      </c>
      <c r="E47" s="513">
        <f t="shared" si="6"/>
        <v>2.683945057226432E-3</v>
      </c>
      <c r="F47" s="514">
        <f t="shared" si="7"/>
        <v>-4.0515168725377231E-4</v>
      </c>
    </row>
    <row r="48" spans="1:6" x14ac:dyDescent="0.25">
      <c r="A48" s="494" t="s">
        <v>292</v>
      </c>
      <c r="B48" s="66">
        <f>+'GVA-productivity4'!N75</f>
        <v>7.055506682708268E-3</v>
      </c>
      <c r="C48" s="66">
        <f>(+'GVA-productivity4'!N48)/100</f>
        <v>0.19595388296715249</v>
      </c>
      <c r="D48" s="66">
        <f>(+'GVA-productivity4'!O48)/100</f>
        <v>0.20996569057687706</v>
      </c>
      <c r="E48" s="513">
        <f t="shared" si="6"/>
        <v>1.4011807609724564E-2</v>
      </c>
      <c r="F48" s="514">
        <f t="shared" si="7"/>
        <v>1.3825539307773783E-3</v>
      </c>
    </row>
    <row r="49" spans="1:6" s="227" customFormat="1" x14ac:dyDescent="0.25">
      <c r="A49" s="515" t="s">
        <v>113</v>
      </c>
      <c r="B49" s="126">
        <f>+'GVA-productivity4'!N77</f>
        <v>2.1200801646610978E-2</v>
      </c>
      <c r="C49" s="126">
        <f>(+'GVA-productivity4'!N50)/100</f>
        <v>1</v>
      </c>
      <c r="D49" s="126">
        <f>(+'GVA-productivity4'!O50)/100</f>
        <v>1</v>
      </c>
      <c r="E49" s="516">
        <f t="shared" si="6"/>
        <v>0</v>
      </c>
      <c r="F49" s="509">
        <f>SUM(F42:F48)</f>
        <v>2.8946505087765226E-2</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9"/>
  <sheetViews>
    <sheetView showGridLines="0" workbookViewId="0">
      <selection activeCell="A2" sqref="A2"/>
    </sheetView>
  </sheetViews>
  <sheetFormatPr defaultRowHeight="12" x14ac:dyDescent="0.25"/>
  <cols>
    <col min="2" max="2" width="29.5703125" customWidth="1"/>
    <col min="3" max="6" width="14.140625" customWidth="1"/>
    <col min="7" max="7" width="6.42578125" customWidth="1"/>
  </cols>
  <sheetData>
    <row r="1" spans="1:16" ht="14.4" x14ac:dyDescent="0.25">
      <c r="A1" s="149" t="s">
        <v>319</v>
      </c>
    </row>
    <row r="2" spans="1:16" x14ac:dyDescent="0.25">
      <c r="A2" s="304" t="s">
        <v>324</v>
      </c>
    </row>
    <row r="3" spans="1:16" x14ac:dyDescent="0.25">
      <c r="A3" s="490"/>
    </row>
    <row r="4" spans="1:16" x14ac:dyDescent="0.25">
      <c r="A4" s="287"/>
      <c r="B4" s="519"/>
      <c r="C4" s="287"/>
      <c r="D4" s="287" t="s">
        <v>265</v>
      </c>
      <c r="E4" s="287"/>
      <c r="F4" s="287"/>
    </row>
    <row r="5" spans="1:16" ht="48" x14ac:dyDescent="0.25">
      <c r="A5" s="151" t="s">
        <v>83</v>
      </c>
      <c r="B5" s="152" t="s">
        <v>2</v>
      </c>
      <c r="C5" s="153" t="s">
        <v>320</v>
      </c>
      <c r="D5" s="153" t="s">
        <v>321</v>
      </c>
      <c r="E5" s="153" t="s">
        <v>322</v>
      </c>
      <c r="F5" s="153" t="s">
        <v>321</v>
      </c>
      <c r="H5" s="151"/>
      <c r="I5" s="151" t="s">
        <v>14</v>
      </c>
      <c r="J5" s="520" t="s">
        <v>290</v>
      </c>
      <c r="K5" s="151" t="s">
        <v>292</v>
      </c>
      <c r="L5" s="151" t="s">
        <v>20</v>
      </c>
      <c r="M5" s="520" t="s">
        <v>22</v>
      </c>
      <c r="N5" s="151" t="s">
        <v>315</v>
      </c>
      <c r="O5" s="520" t="s">
        <v>291</v>
      </c>
      <c r="P5" s="151"/>
    </row>
    <row r="6" spans="1:16" x14ac:dyDescent="0.25">
      <c r="A6" s="150">
        <v>1</v>
      </c>
      <c r="B6" s="494" t="s">
        <v>14</v>
      </c>
      <c r="C6" s="221">
        <f>(VLOOKUP($A6,'GVA-productivity4'!$C$42:$O$48,13,FALSE)/100)</f>
        <v>0.40058246229952926</v>
      </c>
      <c r="D6" s="145">
        <f>VLOOKUP(A6,'GVA-productivity4'!$C$55:$O$61,13,FALSE)</f>
        <v>0.55858189267978131</v>
      </c>
      <c r="E6" s="521">
        <f>+C6</f>
        <v>0.40058246229952926</v>
      </c>
      <c r="F6" s="522">
        <f>+D6</f>
        <v>0.55858189267978131</v>
      </c>
      <c r="G6" s="523"/>
      <c r="H6" s="524">
        <v>0</v>
      </c>
      <c r="I6" s="525">
        <v>0</v>
      </c>
      <c r="J6" s="525"/>
      <c r="K6" s="525"/>
      <c r="L6" s="525"/>
      <c r="M6" s="525"/>
      <c r="N6" s="525"/>
      <c r="O6" s="525"/>
      <c r="P6" s="525">
        <v>0</v>
      </c>
    </row>
    <row r="7" spans="1:16" x14ac:dyDescent="0.25">
      <c r="A7" s="150">
        <v>5</v>
      </c>
      <c r="B7" s="494" t="s">
        <v>290</v>
      </c>
      <c r="C7" s="221">
        <f>(VLOOKUP($A7,'GVA-productivity4'!$C$42:$O$48,13,FALSE)/100)</f>
        <v>0.2449134285486316</v>
      </c>
      <c r="D7" s="145">
        <f>VLOOKUP(A7,'GVA-productivity4'!$C$55:$O$61,13,FALSE)</f>
        <v>0.88140723228459639</v>
      </c>
      <c r="E7" s="521">
        <f t="shared" ref="E7:E12" si="0">+E6+C7</f>
        <v>0.64549589084816084</v>
      </c>
      <c r="F7" s="522">
        <f t="shared" ref="F7:F12" si="1">+D7</f>
        <v>0.88140723228459639</v>
      </c>
      <c r="G7" s="523"/>
      <c r="H7" s="524">
        <v>0</v>
      </c>
      <c r="I7" s="526">
        <f>+$F$6</f>
        <v>0.55858189267978131</v>
      </c>
      <c r="J7" s="525"/>
      <c r="K7" s="525"/>
      <c r="L7" s="525"/>
      <c r="M7" s="525"/>
      <c r="N7" s="525"/>
      <c r="O7" s="525"/>
      <c r="P7" s="525">
        <v>0</v>
      </c>
    </row>
    <row r="8" spans="1:16" x14ac:dyDescent="0.25">
      <c r="A8" s="150">
        <v>7</v>
      </c>
      <c r="B8" s="494" t="s">
        <v>292</v>
      </c>
      <c r="C8" s="221">
        <f>(VLOOKUP($A8,'GVA-productivity4'!$C$42:$O$48,13,FALSE)/100)</f>
        <v>0.20996569057687706</v>
      </c>
      <c r="D8" s="145">
        <f>VLOOKUP(A8,'GVA-productivity4'!$C$55:$O$61,13,FALSE)</f>
        <v>0.96748730181147169</v>
      </c>
      <c r="E8" s="521">
        <f t="shared" si="0"/>
        <v>0.85546158142503792</v>
      </c>
      <c r="F8" s="522">
        <f t="shared" si="1"/>
        <v>0.96748730181147169</v>
      </c>
      <c r="G8" s="523"/>
      <c r="H8" s="524">
        <f>AVERAGE(H7,H9)</f>
        <v>20.029123114976464</v>
      </c>
      <c r="I8" s="526">
        <f>+$F$6</f>
        <v>0.55858189267978131</v>
      </c>
      <c r="J8" s="525"/>
      <c r="K8" s="525"/>
      <c r="L8" s="525"/>
      <c r="M8" s="525"/>
      <c r="N8" s="525"/>
      <c r="O8" s="525"/>
      <c r="P8" s="525">
        <v>0</v>
      </c>
    </row>
    <row r="9" spans="1:16" x14ac:dyDescent="0.25">
      <c r="A9" s="150">
        <v>3</v>
      </c>
      <c r="B9" s="494" t="s">
        <v>20</v>
      </c>
      <c r="C9" s="221">
        <f>(VLOOKUP($A9,'GVA-productivity4'!$C$42:$O$48,13,FALSE)/100)</f>
        <v>7.2947418814330173E-2</v>
      </c>
      <c r="D9" s="145">
        <f>VLOOKUP(A9,'GVA-productivity4'!$C$55:$O$61,13,FALSE)</f>
        <v>1.1804875287442294</v>
      </c>
      <c r="E9" s="521">
        <f t="shared" si="0"/>
        <v>0.92840900023936812</v>
      </c>
      <c r="F9" s="522">
        <f t="shared" si="1"/>
        <v>1.1804875287442294</v>
      </c>
      <c r="G9" s="523"/>
      <c r="H9" s="524">
        <f>+$E$6*100</f>
        <v>40.058246229952928</v>
      </c>
      <c r="I9" s="526">
        <f>+$F$6</f>
        <v>0.55858189267978131</v>
      </c>
      <c r="J9" s="525">
        <v>0</v>
      </c>
      <c r="K9" s="525"/>
      <c r="L9" s="525"/>
      <c r="M9" s="525"/>
      <c r="N9" s="525"/>
      <c r="O9" s="525"/>
      <c r="P9" s="525">
        <v>0</v>
      </c>
    </row>
    <row r="10" spans="1:16" x14ac:dyDescent="0.25">
      <c r="A10" s="150">
        <v>4</v>
      </c>
      <c r="B10" s="494" t="s">
        <v>22</v>
      </c>
      <c r="C10" s="221">
        <f>(VLOOKUP($A10,'GVA-productivity4'!$C$42:$O$48,13,FALSE)/100)</f>
        <v>1.6915343493178012E-2</v>
      </c>
      <c r="D10" s="145">
        <f>VLOOKUP(A10,'GVA-productivity4'!$C$55:$O$61,13,FALSE)</f>
        <v>2.2957861176872854</v>
      </c>
      <c r="E10" s="521">
        <f t="shared" si="0"/>
        <v>0.94532434373254615</v>
      </c>
      <c r="F10" s="522">
        <f t="shared" si="1"/>
        <v>2.2957861176872854</v>
      </c>
      <c r="G10" s="523"/>
      <c r="H10" s="524">
        <f>+$E$6*100</f>
        <v>40.058246229952928</v>
      </c>
      <c r="I10" s="525">
        <v>0</v>
      </c>
      <c r="J10" s="527">
        <f>+$F$7</f>
        <v>0.88140723228459639</v>
      </c>
      <c r="K10" s="525"/>
      <c r="L10" s="525"/>
      <c r="M10" s="525"/>
      <c r="N10" s="525"/>
      <c r="O10" s="525"/>
      <c r="P10" s="525">
        <v>0</v>
      </c>
    </row>
    <row r="11" spans="1:16" x14ac:dyDescent="0.25">
      <c r="A11" s="150">
        <v>2</v>
      </c>
      <c r="B11" s="494" t="s">
        <v>315</v>
      </c>
      <c r="C11" s="221">
        <f>(VLOOKUP($A11,'GVA-productivity4'!$C$42:$O$48,13,FALSE)/100)</f>
        <v>1.4401978776031277E-2</v>
      </c>
      <c r="D11" s="145">
        <f>VLOOKUP(A11,'GVA-productivity4'!$C$55:$O$61,13,FALSE)</f>
        <v>3.4077940929722357</v>
      </c>
      <c r="E11" s="521">
        <f t="shared" si="0"/>
        <v>0.95972632250857748</v>
      </c>
      <c r="F11" s="522">
        <f t="shared" si="1"/>
        <v>3.4077940929722357</v>
      </c>
      <c r="G11" s="523"/>
      <c r="H11" s="524">
        <f>AVERAGE(H10,H12)</f>
        <v>52.303917657384503</v>
      </c>
      <c r="I11" s="525"/>
      <c r="J11" s="527">
        <f>+$F$7</f>
        <v>0.88140723228459639</v>
      </c>
      <c r="K11" s="525"/>
      <c r="L11" s="525"/>
      <c r="M11" s="525"/>
      <c r="N11" s="525"/>
      <c r="O11" s="525"/>
      <c r="P11" s="525">
        <v>0</v>
      </c>
    </row>
    <row r="12" spans="1:16" x14ac:dyDescent="0.25">
      <c r="A12" s="150">
        <v>6</v>
      </c>
      <c r="B12" s="498" t="s">
        <v>291</v>
      </c>
      <c r="C12" s="221">
        <f>(VLOOKUP($A12,'GVA-productivity4'!$C$42:$O$48,13,FALSE)/100)</f>
        <v>4.0273677491422646E-2</v>
      </c>
      <c r="D12" s="145">
        <f>VLOOKUP(A12,'GVA-productivity4'!$C$55:$O$61,13,FALSE)</f>
        <v>4.5490699548312934</v>
      </c>
      <c r="E12" s="521">
        <f t="shared" si="0"/>
        <v>1.0000000000000002</v>
      </c>
      <c r="F12" s="522">
        <f t="shared" si="1"/>
        <v>4.5490699548312934</v>
      </c>
      <c r="G12" s="523"/>
      <c r="H12" s="524">
        <f>+$E$7*100</f>
        <v>64.549589084816077</v>
      </c>
      <c r="I12" s="525"/>
      <c r="J12" s="527">
        <f>+$F$7</f>
        <v>0.88140723228459639</v>
      </c>
      <c r="K12" s="525">
        <v>0</v>
      </c>
      <c r="L12" s="525"/>
      <c r="M12" s="525"/>
      <c r="N12" s="525"/>
      <c r="O12" s="525"/>
      <c r="P12" s="525">
        <v>0</v>
      </c>
    </row>
    <row r="13" spans="1:16" x14ac:dyDescent="0.25">
      <c r="A13" s="150"/>
      <c r="B13" s="139"/>
      <c r="C13" s="221">
        <f>SUM(C6:C12)</f>
        <v>1.0000000000000002</v>
      </c>
      <c r="D13" s="145"/>
      <c r="E13" s="221"/>
      <c r="F13" s="145"/>
      <c r="H13" s="524">
        <f>+$E$7*100</f>
        <v>64.549589084816077</v>
      </c>
      <c r="I13" s="525"/>
      <c r="J13" s="525">
        <v>0</v>
      </c>
      <c r="K13" s="528">
        <f>+$F$8</f>
        <v>0.96748730181147169</v>
      </c>
      <c r="L13" s="525"/>
      <c r="M13" s="525"/>
      <c r="N13" s="525"/>
      <c r="O13" s="525"/>
      <c r="P13" s="525">
        <v>0</v>
      </c>
    </row>
    <row r="14" spans="1:16" x14ac:dyDescent="0.25">
      <c r="B14" s="154"/>
      <c r="C14" s="146"/>
      <c r="D14" s="146"/>
      <c r="E14" s="148"/>
      <c r="F14" s="148"/>
      <c r="H14" s="524">
        <f>AVERAGE(H13,H15)</f>
        <v>75.047873613659931</v>
      </c>
      <c r="I14" s="525"/>
      <c r="J14" s="525"/>
      <c r="K14" s="528">
        <f>+$F$8</f>
        <v>0.96748730181147169</v>
      </c>
      <c r="L14" s="525"/>
      <c r="M14" s="525"/>
      <c r="N14" s="525"/>
      <c r="O14" s="525"/>
      <c r="P14" s="525">
        <v>0</v>
      </c>
    </row>
    <row r="15" spans="1:16" x14ac:dyDescent="0.25">
      <c r="H15" s="524">
        <f>+$E$8*100</f>
        <v>85.546158142503799</v>
      </c>
      <c r="I15" s="525"/>
      <c r="J15" s="525"/>
      <c r="K15" s="528">
        <f>+$F$8</f>
        <v>0.96748730181147169</v>
      </c>
      <c r="L15" s="525">
        <v>0</v>
      </c>
      <c r="M15" s="525"/>
      <c r="N15" s="525"/>
      <c r="O15" s="525"/>
      <c r="P15" s="525">
        <v>0</v>
      </c>
    </row>
    <row r="16" spans="1:16" x14ac:dyDescent="0.25">
      <c r="A16" s="529"/>
      <c r="B16" s="530"/>
      <c r="H16" s="524">
        <f>+$E$8*100</f>
        <v>85.546158142503799</v>
      </c>
      <c r="I16" s="525"/>
      <c r="J16" s="525"/>
      <c r="K16" s="525">
        <v>0</v>
      </c>
      <c r="L16" s="531">
        <f>+$F$9</f>
        <v>1.1804875287442294</v>
      </c>
      <c r="M16" s="525"/>
      <c r="N16" s="525"/>
      <c r="O16" s="525"/>
      <c r="P16" s="525">
        <v>0</v>
      </c>
    </row>
    <row r="17" spans="8:16" x14ac:dyDescent="0.25">
      <c r="H17" s="524">
        <f>AVERAGE(H16,H18)</f>
        <v>89.193529083220312</v>
      </c>
      <c r="I17" s="525"/>
      <c r="J17" s="525"/>
      <c r="K17" s="525"/>
      <c r="L17" s="531">
        <f>+$F$9</f>
        <v>1.1804875287442294</v>
      </c>
      <c r="M17" s="525"/>
      <c r="N17" s="525"/>
      <c r="O17" s="525"/>
      <c r="P17" s="525">
        <v>0</v>
      </c>
    </row>
    <row r="18" spans="8:16" x14ac:dyDescent="0.25">
      <c r="H18" s="524">
        <f>+$E$9*100</f>
        <v>92.840900023936811</v>
      </c>
      <c r="I18" s="525"/>
      <c r="J18" s="525"/>
      <c r="K18" s="525"/>
      <c r="L18" s="531">
        <f>+$F$9</f>
        <v>1.1804875287442294</v>
      </c>
      <c r="M18" s="525">
        <v>0</v>
      </c>
      <c r="N18" s="525"/>
      <c r="O18" s="525"/>
      <c r="P18" s="525">
        <v>0</v>
      </c>
    </row>
    <row r="19" spans="8:16" x14ac:dyDescent="0.25">
      <c r="H19" s="524">
        <f>+$E$9*100</f>
        <v>92.840900023936811</v>
      </c>
      <c r="I19" s="525"/>
      <c r="J19" s="525"/>
      <c r="K19" s="525"/>
      <c r="L19" s="525">
        <v>0</v>
      </c>
      <c r="M19" s="531">
        <f>+$F$10</f>
        <v>2.2957861176872854</v>
      </c>
      <c r="N19" s="525"/>
      <c r="O19" s="525"/>
      <c r="P19" s="525">
        <v>0</v>
      </c>
    </row>
    <row r="20" spans="8:16" x14ac:dyDescent="0.25">
      <c r="H20" s="524">
        <f>AVERAGE(H19,H21)</f>
        <v>93.686667198595714</v>
      </c>
      <c r="I20" s="525"/>
      <c r="J20" s="525"/>
      <c r="K20" s="525"/>
      <c r="L20" s="525"/>
      <c r="M20" s="531">
        <f>+$F$10</f>
        <v>2.2957861176872854</v>
      </c>
      <c r="N20" s="525"/>
      <c r="O20" s="525"/>
      <c r="P20" s="525">
        <v>0</v>
      </c>
    </row>
    <row r="21" spans="8:16" x14ac:dyDescent="0.25">
      <c r="H21" s="524">
        <f>+$E$10*100</f>
        <v>94.532434373254617</v>
      </c>
      <c r="I21" s="525"/>
      <c r="J21" s="525"/>
      <c r="K21" s="525"/>
      <c r="L21" s="525"/>
      <c r="M21" s="531">
        <f>+$F$10</f>
        <v>2.2957861176872854</v>
      </c>
      <c r="N21" s="525">
        <v>0</v>
      </c>
      <c r="O21" s="525"/>
      <c r="P21" s="525">
        <v>0</v>
      </c>
    </row>
    <row r="22" spans="8:16" x14ac:dyDescent="0.25">
      <c r="H22" s="524">
        <f>+$E$10*100</f>
        <v>94.532434373254617</v>
      </c>
      <c r="I22" s="525"/>
      <c r="J22" s="525"/>
      <c r="K22" s="525"/>
      <c r="L22" s="525"/>
      <c r="M22" s="525">
        <v>0</v>
      </c>
      <c r="N22" s="531">
        <f>+$F$11</f>
        <v>3.4077940929722357</v>
      </c>
      <c r="O22" s="525"/>
      <c r="P22" s="525">
        <v>0</v>
      </c>
    </row>
    <row r="23" spans="8:16" x14ac:dyDescent="0.25">
      <c r="H23" s="524">
        <f>AVERAGE(H22,H24)</f>
        <v>95.252533312056187</v>
      </c>
      <c r="I23" s="525"/>
      <c r="J23" s="525"/>
      <c r="K23" s="525"/>
      <c r="L23" s="525"/>
      <c r="M23" s="525"/>
      <c r="N23" s="531">
        <f>+$F$11</f>
        <v>3.4077940929722357</v>
      </c>
      <c r="O23" s="525"/>
      <c r="P23" s="525">
        <v>0</v>
      </c>
    </row>
    <row r="24" spans="8:16" x14ac:dyDescent="0.25">
      <c r="H24" s="524">
        <f>+$E$11*100</f>
        <v>95.972632250857743</v>
      </c>
      <c r="I24" s="525"/>
      <c r="J24" s="525"/>
      <c r="K24" s="525"/>
      <c r="L24" s="525"/>
      <c r="M24" s="525"/>
      <c r="N24" s="531">
        <f>+$F$11</f>
        <v>3.4077940929722357</v>
      </c>
      <c r="O24" s="525">
        <v>0</v>
      </c>
      <c r="P24" s="525">
        <v>0</v>
      </c>
    </row>
    <row r="25" spans="8:16" x14ac:dyDescent="0.25">
      <c r="H25" s="524">
        <f>+$E$11*100</f>
        <v>95.972632250857743</v>
      </c>
      <c r="I25" s="525"/>
      <c r="J25" s="525"/>
      <c r="K25" s="525"/>
      <c r="L25" s="525"/>
      <c r="M25" s="525"/>
      <c r="N25" s="525">
        <v>0</v>
      </c>
      <c r="O25" s="531">
        <f>+$F$12</f>
        <v>4.5490699548312934</v>
      </c>
      <c r="P25" s="525">
        <v>0</v>
      </c>
    </row>
    <row r="26" spans="8:16" x14ac:dyDescent="0.25">
      <c r="H26" s="524">
        <f>AVERAGE(H25,H27)</f>
        <v>97.986316125428885</v>
      </c>
      <c r="I26" s="525"/>
      <c r="J26" s="525"/>
      <c r="K26" s="525"/>
      <c r="L26" s="525"/>
      <c r="M26" s="525"/>
      <c r="N26" s="525"/>
      <c r="O26" s="531">
        <f>+$F$12</f>
        <v>4.5490699548312934</v>
      </c>
      <c r="P26" s="525">
        <v>0</v>
      </c>
    </row>
    <row r="27" spans="8:16" x14ac:dyDescent="0.25">
      <c r="H27" s="524">
        <f>+$E$12*100</f>
        <v>100.00000000000003</v>
      </c>
      <c r="I27" s="525"/>
      <c r="J27" s="525"/>
      <c r="K27" s="525"/>
      <c r="L27" s="525"/>
      <c r="M27" s="525"/>
      <c r="N27" s="525"/>
      <c r="O27" s="531">
        <f>+$F$12</f>
        <v>4.5490699548312934</v>
      </c>
      <c r="P27" s="525">
        <v>0</v>
      </c>
    </row>
    <row r="28" spans="8:16" x14ac:dyDescent="0.25">
      <c r="H28" s="524">
        <f>+$E$12*100</f>
        <v>100.00000000000003</v>
      </c>
      <c r="I28" s="525"/>
      <c r="J28" s="525"/>
      <c r="K28" s="525"/>
      <c r="L28" s="525"/>
      <c r="M28" s="525"/>
      <c r="N28" s="525"/>
      <c r="O28" s="525">
        <v>0</v>
      </c>
      <c r="P28" s="525">
        <v>0</v>
      </c>
    </row>
    <row r="49" spans="8:8" x14ac:dyDescent="0.25">
      <c r="H49" s="532"/>
    </row>
  </sheetData>
  <pageMargins left="0.7" right="0.7" top="0.75" bottom="0.75" header="0.3" footer="0.3"/>
  <pageSetup paperSize="9" orientation="portrait"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2"/>
  <sheetViews>
    <sheetView showGridLines="0" workbookViewId="0">
      <selection activeCell="J33" sqref="J33"/>
    </sheetView>
  </sheetViews>
  <sheetFormatPr defaultRowHeight="12" x14ac:dyDescent="0.25"/>
  <cols>
    <col min="1" max="1" width="25.28515625" customWidth="1"/>
  </cols>
  <sheetData>
    <row r="1" spans="1:11" ht="14.4" x14ac:dyDescent="0.3">
      <c r="A1" s="212" t="s">
        <v>88</v>
      </c>
    </row>
    <row r="2" spans="1:11" x14ac:dyDescent="0.25">
      <c r="A2" s="213" t="s">
        <v>95</v>
      </c>
      <c r="B2" s="370" t="s">
        <v>273</v>
      </c>
    </row>
    <row r="4" spans="1:11" s="227" customFormat="1" x14ac:dyDescent="0.25">
      <c r="B4" s="533" t="s">
        <v>100</v>
      </c>
      <c r="C4" s="533"/>
      <c r="D4" s="533"/>
      <c r="E4" s="533"/>
      <c r="F4" s="533"/>
      <c r="G4" s="534" t="s">
        <v>101</v>
      </c>
      <c r="H4" s="534"/>
      <c r="I4" s="534"/>
      <c r="J4" s="534"/>
      <c r="K4" s="534"/>
    </row>
    <row r="5" spans="1:11" s="215" customFormat="1" x14ac:dyDescent="0.25">
      <c r="A5" s="300" t="s">
        <v>2</v>
      </c>
      <c r="B5" s="300">
        <v>1991</v>
      </c>
      <c r="C5" s="300">
        <v>2000</v>
      </c>
      <c r="D5" s="300">
        <v>2005</v>
      </c>
      <c r="E5" s="300">
        <v>2010</v>
      </c>
      <c r="F5" s="300">
        <v>2013</v>
      </c>
      <c r="G5" s="300">
        <v>1991</v>
      </c>
      <c r="H5" s="300">
        <v>2000</v>
      </c>
      <c r="I5" s="300">
        <v>2005</v>
      </c>
      <c r="J5" s="300">
        <v>2010</v>
      </c>
      <c r="K5" s="300">
        <v>2013</v>
      </c>
    </row>
    <row r="6" spans="1:11" x14ac:dyDescent="0.25">
      <c r="A6" s="535" t="s">
        <v>14</v>
      </c>
      <c r="B6" s="234">
        <v>54.800000000000004</v>
      </c>
      <c r="C6" s="234">
        <v>53.7</v>
      </c>
      <c r="D6" s="234">
        <v>53.1</v>
      </c>
      <c r="E6" s="234">
        <v>50.300000000000004</v>
      </c>
      <c r="F6" s="234">
        <v>46.800000000000004</v>
      </c>
      <c r="G6" s="234">
        <v>41.300000000000004</v>
      </c>
      <c r="H6" s="234">
        <v>41.300000000000004</v>
      </c>
      <c r="I6" s="234">
        <v>39.5</v>
      </c>
      <c r="J6" s="234">
        <v>34.6</v>
      </c>
      <c r="K6" s="234">
        <v>31</v>
      </c>
    </row>
    <row r="7" spans="1:11" x14ac:dyDescent="0.25">
      <c r="A7" s="535" t="s">
        <v>323</v>
      </c>
      <c r="B7" s="234">
        <v>0.6</v>
      </c>
      <c r="C7" s="234">
        <v>0.6</v>
      </c>
      <c r="D7" s="234">
        <v>0.9</v>
      </c>
      <c r="E7" s="234">
        <v>1.9000000000000004</v>
      </c>
      <c r="F7" s="234">
        <v>2</v>
      </c>
      <c r="G7" s="234">
        <v>0.2</v>
      </c>
      <c r="H7" s="234">
        <v>0.2</v>
      </c>
      <c r="I7" s="234">
        <v>0.2</v>
      </c>
      <c r="J7" s="234">
        <v>0.7</v>
      </c>
      <c r="K7" s="234">
        <v>0.7</v>
      </c>
    </row>
    <row r="8" spans="1:11" x14ac:dyDescent="0.25">
      <c r="A8" s="536" t="s">
        <v>20</v>
      </c>
      <c r="B8" s="234">
        <v>10.9</v>
      </c>
      <c r="C8" s="234">
        <v>10.4</v>
      </c>
      <c r="D8" s="234">
        <v>7.5</v>
      </c>
      <c r="E8" s="234">
        <v>4.9000000000000004</v>
      </c>
      <c r="F8" s="234">
        <v>5.7</v>
      </c>
      <c r="G8" s="234">
        <v>14.9</v>
      </c>
      <c r="H8" s="234">
        <v>13</v>
      </c>
      <c r="I8" s="234">
        <v>9.2000000000000011</v>
      </c>
      <c r="J8" s="234">
        <v>8.8000000000000007</v>
      </c>
      <c r="K8" s="234">
        <v>9.5</v>
      </c>
    </row>
    <row r="9" spans="1:11" x14ac:dyDescent="0.25">
      <c r="A9" s="536" t="s">
        <v>22</v>
      </c>
      <c r="B9" s="234">
        <v>1.6</v>
      </c>
      <c r="C9" s="234">
        <v>1.8</v>
      </c>
      <c r="D9" s="234">
        <v>2.3000000000000003</v>
      </c>
      <c r="E9" s="234">
        <v>2.7</v>
      </c>
      <c r="F9" s="234">
        <v>2.8000000000000003</v>
      </c>
      <c r="G9" s="234">
        <v>0.30000000000000004</v>
      </c>
      <c r="H9" s="234">
        <v>0.30000000000000004</v>
      </c>
      <c r="I9" s="234">
        <v>0.30000000000000004</v>
      </c>
      <c r="J9" s="234">
        <v>0.2</v>
      </c>
      <c r="K9" s="234">
        <v>0.2</v>
      </c>
    </row>
    <row r="10" spans="1:11" x14ac:dyDescent="0.25">
      <c r="A10" s="536" t="s">
        <v>290</v>
      </c>
      <c r="B10" s="234">
        <v>15.4</v>
      </c>
      <c r="C10" s="234">
        <v>15.1</v>
      </c>
      <c r="D10" s="234">
        <v>13.3</v>
      </c>
      <c r="E10" s="234">
        <v>14.500000000000002</v>
      </c>
      <c r="F10" s="234">
        <v>15.000000000000002</v>
      </c>
      <c r="G10" s="234">
        <v>29.500000000000004</v>
      </c>
      <c r="H10" s="234">
        <v>30.7</v>
      </c>
      <c r="I10" s="234">
        <v>34.799999999999997</v>
      </c>
      <c r="J10" s="234">
        <v>35.5</v>
      </c>
      <c r="K10" s="234">
        <v>37.400000000000006</v>
      </c>
    </row>
    <row r="11" spans="1:11" x14ac:dyDescent="0.25">
      <c r="A11" s="498" t="s">
        <v>291</v>
      </c>
      <c r="B11" s="234">
        <v>2.9000000000000004</v>
      </c>
      <c r="C11" s="234">
        <v>3.4000000000000004</v>
      </c>
      <c r="D11" s="234">
        <v>4.7</v>
      </c>
      <c r="E11" s="234">
        <v>6.1000000000000005</v>
      </c>
      <c r="F11" s="234">
        <v>6.5</v>
      </c>
      <c r="G11" s="234">
        <v>0.60000000000000009</v>
      </c>
      <c r="H11" s="234">
        <v>0.70000000000000007</v>
      </c>
      <c r="I11" s="234">
        <v>0.70000000000000007</v>
      </c>
      <c r="J11" s="234">
        <v>0.60000000000000009</v>
      </c>
      <c r="K11" s="234">
        <v>0.70000000000000007</v>
      </c>
    </row>
    <row r="12" spans="1:11" x14ac:dyDescent="0.25">
      <c r="A12" s="498" t="s">
        <v>292</v>
      </c>
      <c r="B12" s="234">
        <v>13.9</v>
      </c>
      <c r="C12" s="234">
        <v>15</v>
      </c>
      <c r="D12" s="234">
        <v>18.3</v>
      </c>
      <c r="E12" s="234">
        <v>19.600000000000001</v>
      </c>
      <c r="F12" s="234">
        <v>21.3</v>
      </c>
      <c r="G12" s="234">
        <v>13.400000000000002</v>
      </c>
      <c r="H12" s="234">
        <v>13.8</v>
      </c>
      <c r="I12" s="234">
        <v>15.2</v>
      </c>
      <c r="J12" s="234">
        <v>19.700000000000003</v>
      </c>
      <c r="K12" s="234">
        <v>20.700000000000003</v>
      </c>
    </row>
  </sheetData>
  <mergeCells count="2">
    <mergeCell ref="B4:F4"/>
    <mergeCell ref="G4:K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24"/>
  <sheetViews>
    <sheetView showGridLines="0" workbookViewId="0">
      <pane xSplit="3" topLeftCell="K1" activePane="topRight" state="frozen"/>
      <selection activeCell="J33" sqref="J33"/>
      <selection pane="topRight" activeCell="A3" sqref="A3"/>
    </sheetView>
  </sheetViews>
  <sheetFormatPr defaultColWidth="11.7109375" defaultRowHeight="12" x14ac:dyDescent="0.25"/>
  <cols>
    <col min="1" max="1" width="30.28515625" style="4" customWidth="1"/>
    <col min="2" max="2" width="6" style="11" customWidth="1"/>
    <col min="3" max="3" width="7" style="45" customWidth="1"/>
    <col min="4" max="5" width="7.85546875" style="4" customWidth="1"/>
    <col min="6" max="6" width="9.140625" style="4" bestFit="1" customWidth="1"/>
    <col min="7" max="7" width="9.140625" style="4" customWidth="1"/>
    <col min="8" max="8" width="10.42578125" style="4" customWidth="1"/>
    <col min="9" max="9" width="10.85546875" style="4" bestFit="1" customWidth="1"/>
    <col min="10" max="12" width="8.42578125" style="4" customWidth="1"/>
    <col min="13" max="15" width="10.140625" style="4" customWidth="1"/>
    <col min="16" max="16" width="7.7109375" style="4" customWidth="1"/>
    <col min="17" max="21" width="7.85546875" style="4" customWidth="1"/>
    <col min="22" max="27" width="9.7109375" style="5" customWidth="1"/>
    <col min="28" max="16384" width="11.7109375" style="4"/>
  </cols>
  <sheetData>
    <row r="1" spans="1:27" ht="14.4" x14ac:dyDescent="0.25">
      <c r="A1" s="1" t="s">
        <v>0</v>
      </c>
      <c r="B1" s="2"/>
      <c r="C1" s="3"/>
    </row>
    <row r="2" spans="1:27" s="6" customFormat="1" ht="14.4" x14ac:dyDescent="0.25">
      <c r="A2" s="116" t="s">
        <v>87</v>
      </c>
      <c r="B2" s="117"/>
      <c r="C2" s="118"/>
      <c r="D2" s="312"/>
      <c r="E2" s="313"/>
      <c r="F2" s="313"/>
      <c r="G2" s="313"/>
      <c r="H2" s="313"/>
      <c r="I2" s="313"/>
      <c r="J2" s="312"/>
      <c r="K2" s="313"/>
      <c r="L2" s="313"/>
      <c r="M2" s="313"/>
      <c r="N2" s="313"/>
      <c r="O2" s="313"/>
      <c r="P2" s="312"/>
      <c r="Q2" s="313"/>
      <c r="R2" s="313"/>
      <c r="S2" s="313"/>
      <c r="T2" s="313"/>
      <c r="U2" s="313"/>
      <c r="V2" s="312"/>
      <c r="W2" s="313"/>
      <c r="X2" s="313"/>
      <c r="Y2" s="313"/>
      <c r="Z2" s="313"/>
      <c r="AA2" s="313"/>
    </row>
    <row r="3" spans="1:27" s="6" customFormat="1" ht="14.4" x14ac:dyDescent="0.25">
      <c r="A3" s="358" t="s">
        <v>263</v>
      </c>
      <c r="B3" s="117"/>
      <c r="C3" s="118"/>
      <c r="D3" s="284"/>
      <c r="E3" s="285"/>
      <c r="F3" s="285"/>
      <c r="G3" s="285"/>
      <c r="H3" s="285"/>
      <c r="I3" s="285"/>
      <c r="J3" s="284"/>
      <c r="K3" s="285"/>
      <c r="L3" s="285"/>
      <c r="M3" s="285"/>
      <c r="N3" s="285"/>
      <c r="O3" s="285"/>
      <c r="P3" s="284"/>
      <c r="Q3" s="285"/>
      <c r="R3" s="285"/>
      <c r="S3" s="285"/>
      <c r="T3" s="285"/>
      <c r="U3" s="285"/>
      <c r="V3" s="284"/>
      <c r="W3" s="285"/>
      <c r="X3" s="285"/>
      <c r="Y3" s="285"/>
      <c r="Z3" s="285"/>
      <c r="AA3" s="285"/>
    </row>
    <row r="4" spans="1:27" s="6" customFormat="1" x14ac:dyDescent="0.25">
      <c r="A4" s="119" t="s">
        <v>1</v>
      </c>
      <c r="B4" s="120"/>
      <c r="C4" s="121"/>
      <c r="D4" s="314"/>
      <c r="E4" s="314"/>
      <c r="F4" s="314"/>
      <c r="G4" s="314"/>
      <c r="H4" s="314"/>
      <c r="I4" s="314"/>
      <c r="J4" s="8"/>
      <c r="K4" s="8"/>
      <c r="L4" s="8"/>
      <c r="M4" s="8"/>
      <c r="N4" s="8"/>
      <c r="O4" s="8"/>
      <c r="P4" s="8"/>
      <c r="Q4" s="8"/>
      <c r="R4" s="8"/>
      <c r="S4" s="8"/>
      <c r="T4" s="8"/>
      <c r="U4" s="8"/>
      <c r="V4" s="315"/>
      <c r="W4" s="314"/>
      <c r="X4" s="314"/>
      <c r="Y4" s="314"/>
      <c r="Z4" s="314"/>
      <c r="AA4" s="314"/>
    </row>
    <row r="5" spans="1:27" s="9" customFormat="1" ht="25.5" customHeight="1" x14ac:dyDescent="0.25">
      <c r="A5" s="317" t="s">
        <v>2</v>
      </c>
      <c r="B5" s="319" t="s">
        <v>41</v>
      </c>
      <c r="C5" s="321" t="s">
        <v>85</v>
      </c>
      <c r="D5" s="323" t="s">
        <v>3</v>
      </c>
      <c r="E5" s="324"/>
      <c r="F5" s="324"/>
      <c r="G5" s="324"/>
      <c r="H5" s="324"/>
      <c r="I5" s="325"/>
      <c r="J5" s="326" t="s">
        <v>4</v>
      </c>
      <c r="K5" s="327"/>
      <c r="L5" s="327"/>
      <c r="M5" s="327"/>
      <c r="N5" s="327"/>
      <c r="O5" s="328"/>
      <c r="P5" s="329" t="s">
        <v>5</v>
      </c>
      <c r="Q5" s="330"/>
      <c r="R5" s="330"/>
      <c r="S5" s="330"/>
      <c r="T5" s="330"/>
      <c r="U5" s="331"/>
      <c r="V5" s="316" t="s">
        <v>6</v>
      </c>
      <c r="W5" s="316"/>
      <c r="X5" s="316"/>
      <c r="Y5" s="316"/>
      <c r="Z5" s="316"/>
      <c r="AA5" s="316"/>
    </row>
    <row r="6" spans="1:27" s="54" customFormat="1" ht="25.2" customHeight="1" x14ac:dyDescent="0.25">
      <c r="A6" s="318"/>
      <c r="B6" s="320"/>
      <c r="C6" s="322"/>
      <c r="D6" s="73" t="s">
        <v>62</v>
      </c>
      <c r="E6" s="73" t="s">
        <v>7</v>
      </c>
      <c r="F6" s="73" t="s">
        <v>8</v>
      </c>
      <c r="G6" s="172">
        <v>2000</v>
      </c>
      <c r="H6" s="172">
        <v>2005</v>
      </c>
      <c r="I6" s="73" t="s">
        <v>9</v>
      </c>
      <c r="J6" s="64" t="s">
        <v>62</v>
      </c>
      <c r="K6" s="64" t="s">
        <v>7</v>
      </c>
      <c r="L6" s="64" t="s">
        <v>8</v>
      </c>
      <c r="M6" s="173">
        <v>2000</v>
      </c>
      <c r="N6" s="173">
        <v>2005</v>
      </c>
      <c r="O6" s="64" t="s">
        <v>9</v>
      </c>
      <c r="P6" s="174" t="s">
        <v>62</v>
      </c>
      <c r="Q6" s="174" t="s">
        <v>7</v>
      </c>
      <c r="R6" s="174" t="s">
        <v>8</v>
      </c>
      <c r="S6" s="175">
        <v>2000</v>
      </c>
      <c r="T6" s="175">
        <v>2005</v>
      </c>
      <c r="U6" s="174" t="s">
        <v>9</v>
      </c>
      <c r="V6" s="176" t="s">
        <v>62</v>
      </c>
      <c r="W6" s="176" t="s">
        <v>7</v>
      </c>
      <c r="X6" s="176" t="s">
        <v>8</v>
      </c>
      <c r="Y6" s="177">
        <v>2000</v>
      </c>
      <c r="Z6" s="177">
        <v>2005</v>
      </c>
      <c r="AA6" s="176" t="s">
        <v>9</v>
      </c>
    </row>
    <row r="7" spans="1:27" s="11" customFormat="1" x14ac:dyDescent="0.25">
      <c r="A7" s="12"/>
      <c r="B7" s="13"/>
      <c r="C7" s="14"/>
      <c r="D7" s="15"/>
      <c r="E7" s="15"/>
      <c r="F7" s="15"/>
      <c r="G7" s="13"/>
      <c r="H7" s="13"/>
      <c r="I7" s="15"/>
      <c r="J7" s="13"/>
      <c r="K7" s="13"/>
      <c r="L7" s="13"/>
      <c r="M7" s="13"/>
      <c r="N7" s="13"/>
      <c r="O7" s="13"/>
      <c r="P7" s="13"/>
      <c r="Q7" s="13"/>
      <c r="R7" s="13"/>
      <c r="S7" s="13"/>
      <c r="T7" s="13"/>
      <c r="U7" s="13"/>
      <c r="V7" s="16"/>
      <c r="W7" s="16"/>
      <c r="X7" s="16"/>
      <c r="Y7" s="16"/>
      <c r="Z7" s="16"/>
      <c r="AA7" s="16"/>
    </row>
    <row r="8" spans="1:27" s="10" customFormat="1" x14ac:dyDescent="0.25">
      <c r="A8" s="76" t="s">
        <v>14</v>
      </c>
      <c r="B8" s="65">
        <v>7</v>
      </c>
      <c r="C8" s="17" t="s">
        <v>15</v>
      </c>
      <c r="D8" s="185">
        <v>3390.5303809571592</v>
      </c>
      <c r="E8" s="185">
        <v>13048.663782277896</v>
      </c>
      <c r="F8" s="185">
        <v>153424.62790770704</v>
      </c>
      <c r="G8" s="185">
        <v>2221714.0483812885</v>
      </c>
      <c r="H8" s="185">
        <v>4989341.7328916471</v>
      </c>
      <c r="I8" s="185">
        <v>10310655.636555135</v>
      </c>
      <c r="J8" s="185">
        <v>1990743.9949386043</v>
      </c>
      <c r="K8" s="185">
        <v>2206832.1252375362</v>
      </c>
      <c r="L8" s="185">
        <v>2682821.8359341919</v>
      </c>
      <c r="M8" s="185">
        <v>3785562.4026655504</v>
      </c>
      <c r="N8" s="185">
        <v>4989341.7328916471</v>
      </c>
      <c r="O8" s="185">
        <v>6839202.8622215074</v>
      </c>
      <c r="P8" s="185">
        <v>13008.500071259572</v>
      </c>
      <c r="Q8" s="185">
        <v>15702.305531744894</v>
      </c>
      <c r="R8" s="185">
        <v>22691.629364848362</v>
      </c>
      <c r="S8" s="185">
        <v>26154.355605013887</v>
      </c>
      <c r="T8" s="185">
        <v>28063.61792088583</v>
      </c>
      <c r="U8" s="185">
        <v>29704.440267824353</v>
      </c>
      <c r="V8" s="18">
        <f t="shared" ref="V8:V16" si="0">(J8*1000000)/(P8*1000)</f>
        <v>153034.09186558484</v>
      </c>
      <c r="W8" s="18">
        <f t="shared" ref="W8:Z8" si="1">(K8*1000000)/(Q8*1000)</f>
        <v>140541.91728571628</v>
      </c>
      <c r="X8" s="18">
        <f t="shared" si="1"/>
        <v>118229.58117278943</v>
      </c>
      <c r="Y8" s="18">
        <f t="shared" si="1"/>
        <v>144739.27248812982</v>
      </c>
      <c r="Z8" s="18">
        <f t="shared" si="1"/>
        <v>177786.83229500576</v>
      </c>
      <c r="AA8" s="18">
        <f t="shared" ref="AA8:AA16" si="2">(O8*1000000)/(U8*1000)</f>
        <v>230241.7685893811</v>
      </c>
    </row>
    <row r="9" spans="1:27" s="10" customFormat="1" x14ac:dyDescent="0.25">
      <c r="A9" s="76" t="s">
        <v>17</v>
      </c>
      <c r="B9" s="127">
        <f>+B8+1</f>
        <v>8</v>
      </c>
      <c r="C9" s="19" t="s">
        <v>18</v>
      </c>
      <c r="D9" s="20">
        <f t="shared" ref="D9:U9" si="3">+D10+D11+D14</f>
        <v>591.1437874915714</v>
      </c>
      <c r="E9" s="20">
        <f t="shared" si="3"/>
        <v>11324.778621472711</v>
      </c>
      <c r="F9" s="20">
        <f t="shared" si="3"/>
        <v>156446.47102239163</v>
      </c>
      <c r="G9" s="20">
        <f t="shared" si="3"/>
        <v>2504167.7837386299</v>
      </c>
      <c r="H9" s="20">
        <f t="shared" si="3"/>
        <v>6601378.420711549</v>
      </c>
      <c r="I9" s="20">
        <f t="shared" si="3"/>
        <v>15659520.995475462</v>
      </c>
      <c r="J9" s="20">
        <f t="shared" si="3"/>
        <v>197831.92227651962</v>
      </c>
      <c r="K9" s="20">
        <f t="shared" si="3"/>
        <v>4107721.1401597983</v>
      </c>
      <c r="L9" s="20">
        <f t="shared" si="3"/>
        <v>4758416.6816657437</v>
      </c>
      <c r="M9" s="20">
        <f t="shared" si="3"/>
        <v>5096520.8650487252</v>
      </c>
      <c r="N9" s="20">
        <f t="shared" si="3"/>
        <v>6601378.420711549</v>
      </c>
      <c r="O9" s="20">
        <f t="shared" si="3"/>
        <v>6461602.7426560791</v>
      </c>
      <c r="P9" s="20">
        <f t="shared" si="3"/>
        <v>882.23971681539706</v>
      </c>
      <c r="Q9" s="20">
        <f t="shared" si="3"/>
        <v>4466.2772733070587</v>
      </c>
      <c r="R9" s="20">
        <f t="shared" si="3"/>
        <v>3755.6853864801924</v>
      </c>
      <c r="S9" s="20">
        <f t="shared" si="3"/>
        <v>2150.153043693711</v>
      </c>
      <c r="T9" s="20">
        <f t="shared" si="3"/>
        <v>2501.8812606873694</v>
      </c>
      <c r="U9" s="20">
        <f t="shared" si="3"/>
        <v>3031.9714118796319</v>
      </c>
      <c r="V9" s="18">
        <f t="shared" si="0"/>
        <v>224238.28638165322</v>
      </c>
      <c r="W9" s="18">
        <f t="shared" ref="W9:Z9" si="4">(K9*1000000)/(Q9*1000)</f>
        <v>919719.24016222858</v>
      </c>
      <c r="X9" s="18">
        <f t="shared" si="4"/>
        <v>1266990.2273484378</v>
      </c>
      <c r="Y9" s="18">
        <f t="shared" si="4"/>
        <v>2370306.0951854386</v>
      </c>
      <c r="Z9" s="18">
        <f t="shared" si="4"/>
        <v>2638565.836213138</v>
      </c>
      <c r="AA9" s="18">
        <f t="shared" si="2"/>
        <v>2131155.5634524575</v>
      </c>
    </row>
    <row r="10" spans="1:27" s="10" customFormat="1" x14ac:dyDescent="0.25">
      <c r="A10" s="77" t="s">
        <v>19</v>
      </c>
      <c r="B10" s="128">
        <f t="shared" ref="B10:B27" si="5">+B9+1</f>
        <v>9</v>
      </c>
      <c r="C10" s="22" t="s">
        <v>15</v>
      </c>
      <c r="D10" s="185">
        <v>25.316468494817734</v>
      </c>
      <c r="E10" s="185">
        <v>4411.8169996793613</v>
      </c>
      <c r="F10" s="185">
        <v>105713.40427788906</v>
      </c>
      <c r="G10" s="185">
        <v>2289889.3755857334</v>
      </c>
      <c r="H10" s="185">
        <v>5937882.704248541</v>
      </c>
      <c r="I10" s="185">
        <v>14551490.90876648</v>
      </c>
      <c r="J10" s="185">
        <v>130494.22945427484</v>
      </c>
      <c r="K10" s="185">
        <v>3841307.6567956982</v>
      </c>
      <c r="L10" s="185">
        <v>4345035.4056991823</v>
      </c>
      <c r="M10" s="185">
        <v>4643167.0168869989</v>
      </c>
      <c r="N10" s="185">
        <v>5937882.704248541</v>
      </c>
      <c r="O10" s="185">
        <v>5399350.0221368009</v>
      </c>
      <c r="P10" s="185">
        <v>42.045698924448502</v>
      </c>
      <c r="Q10" s="185">
        <v>96.7107283590111</v>
      </c>
      <c r="R10" s="185">
        <v>96.393514593385675</v>
      </c>
      <c r="S10" s="185">
        <v>94.676331952607555</v>
      </c>
      <c r="T10" s="185">
        <v>116.07669750839618</v>
      </c>
      <c r="U10" s="185">
        <v>100.7958686922415</v>
      </c>
      <c r="V10" s="23">
        <f t="shared" si="0"/>
        <v>3103628.4992849953</v>
      </c>
      <c r="W10" s="23">
        <f t="shared" ref="W10:Z10" si="6">(K10*1000000)/(Q10*1000)</f>
        <v>39719560.817864329</v>
      </c>
      <c r="X10" s="23">
        <f t="shared" si="6"/>
        <v>45076013.920933738</v>
      </c>
      <c r="Y10" s="23">
        <f t="shared" si="6"/>
        <v>49042531.761911146</v>
      </c>
      <c r="Z10" s="23">
        <f t="shared" si="6"/>
        <v>51154821.180358239</v>
      </c>
      <c r="AA10" s="23">
        <f t="shared" si="2"/>
        <v>53567175.839543134</v>
      </c>
    </row>
    <row r="11" spans="1:27" s="10" customFormat="1" x14ac:dyDescent="0.25">
      <c r="A11" s="77" t="s">
        <v>20</v>
      </c>
      <c r="B11" s="128">
        <f t="shared" si="5"/>
        <v>10</v>
      </c>
      <c r="C11" s="22" t="s">
        <v>15</v>
      </c>
      <c r="D11" s="185">
        <v>356.54035050100038</v>
      </c>
      <c r="E11" s="185">
        <v>5150.2904527081046</v>
      </c>
      <c r="F11" s="185">
        <v>39749.70148851609</v>
      </c>
      <c r="G11" s="185">
        <v>173035.31438722601</v>
      </c>
      <c r="H11" s="185">
        <v>424983.10190499038</v>
      </c>
      <c r="I11" s="185">
        <v>643070.21935720707</v>
      </c>
      <c r="J11" s="185">
        <v>26901.421202770038</v>
      </c>
      <c r="K11" s="185">
        <v>133255.87275508558</v>
      </c>
      <c r="L11" s="185">
        <v>293154.92267721763</v>
      </c>
      <c r="M11" s="185">
        <v>278444.03269073344</v>
      </c>
      <c r="N11" s="185">
        <v>424983.10190499038</v>
      </c>
      <c r="O11" s="185">
        <v>643519.89026541857</v>
      </c>
      <c r="P11" s="185">
        <v>566.89697488203331</v>
      </c>
      <c r="Q11" s="185">
        <v>4123.3937818523827</v>
      </c>
      <c r="R11" s="185">
        <v>3405.9122696377499</v>
      </c>
      <c r="S11" s="185">
        <v>1683.6535185076202</v>
      </c>
      <c r="T11" s="185">
        <v>1853.8549036767247</v>
      </c>
      <c r="U11" s="185">
        <v>2017.236571549025</v>
      </c>
      <c r="V11" s="23">
        <f t="shared" si="0"/>
        <v>47453.809765642174</v>
      </c>
      <c r="W11" s="23">
        <f t="shared" ref="W11:Z11" si="7">(K11*1000000)/(Q11*1000)</f>
        <v>32317.037810350012</v>
      </c>
      <c r="X11" s="23">
        <f t="shared" si="7"/>
        <v>86072.364602743386</v>
      </c>
      <c r="Y11" s="23">
        <f t="shared" si="7"/>
        <v>165380.83972143181</v>
      </c>
      <c r="Z11" s="23">
        <f t="shared" si="7"/>
        <v>229242.91489162785</v>
      </c>
      <c r="AA11" s="23">
        <f t="shared" si="2"/>
        <v>319010.62044064724</v>
      </c>
    </row>
    <row r="12" spans="1:27" s="25" customFormat="1" x14ac:dyDescent="0.25">
      <c r="A12" s="24" t="s">
        <v>21</v>
      </c>
      <c r="B12" s="128">
        <f t="shared" si="5"/>
        <v>11</v>
      </c>
      <c r="C12" s="22" t="s">
        <v>15</v>
      </c>
      <c r="D12" s="185">
        <v>63.825639652662794</v>
      </c>
      <c r="E12" s="185">
        <v>492.04529305914662</v>
      </c>
      <c r="F12" s="185">
        <v>6594.035724390189</v>
      </c>
      <c r="G12" s="185">
        <v>10449.559672277437</v>
      </c>
      <c r="H12" s="185">
        <v>21389.517571133754</v>
      </c>
      <c r="I12" s="185">
        <v>70293.718657305842</v>
      </c>
      <c r="J12" s="185">
        <v>853.67354307711514</v>
      </c>
      <c r="K12" s="185">
        <v>4733.0412996392706</v>
      </c>
      <c r="L12" s="185">
        <v>9669.8456948354542</v>
      </c>
      <c r="M12" s="185">
        <v>11420.754720995332</v>
      </c>
      <c r="N12" s="185">
        <v>21389.517571133754</v>
      </c>
      <c r="O12" s="185">
        <v>26032.244710093008</v>
      </c>
      <c r="P12" s="185">
        <v>21.022849462224251</v>
      </c>
      <c r="Q12" s="185">
        <v>26.375653188821211</v>
      </c>
      <c r="R12" s="185">
        <v>49.911367953685982</v>
      </c>
      <c r="S12" s="185">
        <v>56.012643108580427</v>
      </c>
      <c r="T12" s="185">
        <v>102.25814682356157</v>
      </c>
      <c r="U12" s="185">
        <v>120.8413929141423</v>
      </c>
      <c r="V12" s="23">
        <f t="shared" si="0"/>
        <v>40606.937923000056</v>
      </c>
      <c r="W12" s="23">
        <f t="shared" ref="W12:Z14" si="8">(K12*1000000)/(Q12*1000)</f>
        <v>179447.35873480755</v>
      </c>
      <c r="X12" s="23">
        <f t="shared" si="8"/>
        <v>193740.34596303487</v>
      </c>
      <c r="Y12" s="23">
        <f t="shared" si="8"/>
        <v>203896.01502746827</v>
      </c>
      <c r="Z12" s="23">
        <f t="shared" si="8"/>
        <v>209171.77003060395</v>
      </c>
      <c r="AA12" s="23">
        <f t="shared" si="2"/>
        <v>215424.89773010885</v>
      </c>
    </row>
    <row r="13" spans="1:27" s="25" customFormat="1" x14ac:dyDescent="0.25">
      <c r="A13" s="26" t="s">
        <v>22</v>
      </c>
      <c r="B13" s="128">
        <f t="shared" si="5"/>
        <v>12</v>
      </c>
      <c r="C13" s="22" t="s">
        <v>15</v>
      </c>
      <c r="D13" s="185">
        <v>145.46132884309048</v>
      </c>
      <c r="E13" s="185">
        <v>1270.6258760260978</v>
      </c>
      <c r="F13" s="185">
        <v>4389.3295315963005</v>
      </c>
      <c r="G13" s="185">
        <v>30793.534093393053</v>
      </c>
      <c r="H13" s="185">
        <v>217123.09698688443</v>
      </c>
      <c r="I13" s="185">
        <v>394666.14869446855</v>
      </c>
      <c r="J13" s="185">
        <v>39582.598076397633</v>
      </c>
      <c r="K13" s="185">
        <v>128424.56930937505</v>
      </c>
      <c r="L13" s="185">
        <v>110556.50759450819</v>
      </c>
      <c r="M13" s="185">
        <v>163489.06074999773</v>
      </c>
      <c r="N13" s="185">
        <v>217123.09698688443</v>
      </c>
      <c r="O13" s="185">
        <v>392700.58554376685</v>
      </c>
      <c r="P13" s="185">
        <v>252.27419354669101</v>
      </c>
      <c r="Q13" s="185">
        <v>219.79710990684345</v>
      </c>
      <c r="R13" s="185">
        <v>203.46823429537108</v>
      </c>
      <c r="S13" s="185">
        <v>315.81055012490287</v>
      </c>
      <c r="T13" s="185">
        <v>429.69151267868682</v>
      </c>
      <c r="U13" s="185">
        <v>793.09757872422324</v>
      </c>
      <c r="V13" s="23">
        <f t="shared" si="0"/>
        <v>156903.080413858</v>
      </c>
      <c r="W13" s="23">
        <f t="shared" si="8"/>
        <v>584286.88786583766</v>
      </c>
      <c r="X13" s="23">
        <f t="shared" si="8"/>
        <v>543360.03837343655</v>
      </c>
      <c r="Y13" s="23">
        <f t="shared" si="8"/>
        <v>517680.80795697903</v>
      </c>
      <c r="Z13" s="23">
        <f t="shared" si="8"/>
        <v>505299.94328569382</v>
      </c>
      <c r="AA13" s="23">
        <f t="shared" si="2"/>
        <v>495147.88101542945</v>
      </c>
    </row>
    <row r="14" spans="1:27" s="10" customFormat="1" x14ac:dyDescent="0.25">
      <c r="A14" s="141" t="s">
        <v>61</v>
      </c>
      <c r="B14" s="129">
        <f t="shared" si="5"/>
        <v>13</v>
      </c>
      <c r="C14" s="27" t="s">
        <v>18</v>
      </c>
      <c r="D14" s="28">
        <f>+D13+D12</f>
        <v>209.28696849575329</v>
      </c>
      <c r="E14" s="28">
        <f t="shared" ref="E14:I14" si="9">+E13+E12</f>
        <v>1762.6711690852444</v>
      </c>
      <c r="F14" s="28">
        <f t="shared" si="9"/>
        <v>10983.36525598649</v>
      </c>
      <c r="G14" s="28">
        <f t="shared" si="9"/>
        <v>41243.093765670492</v>
      </c>
      <c r="H14" s="28">
        <f t="shared" si="9"/>
        <v>238512.61455801819</v>
      </c>
      <c r="I14" s="28">
        <f t="shared" si="9"/>
        <v>464959.86735177436</v>
      </c>
      <c r="J14" s="28">
        <f>+J13+J12</f>
        <v>40436.271619474748</v>
      </c>
      <c r="K14" s="28">
        <f t="shared" ref="K14:O14" si="10">+K13+K12</f>
        <v>133157.61060901431</v>
      </c>
      <c r="L14" s="28">
        <f t="shared" si="10"/>
        <v>120226.35328934365</v>
      </c>
      <c r="M14" s="28">
        <f t="shared" si="10"/>
        <v>174909.81547099305</v>
      </c>
      <c r="N14" s="28">
        <f t="shared" si="10"/>
        <v>238512.61455801819</v>
      </c>
      <c r="O14" s="28">
        <f t="shared" si="10"/>
        <v>418732.83025385987</v>
      </c>
      <c r="P14" s="28">
        <f>+P13+P12</f>
        <v>273.29704300891524</v>
      </c>
      <c r="Q14" s="28">
        <f t="shared" ref="Q14:U14" si="11">+Q13+Q12</f>
        <v>246.17276309566466</v>
      </c>
      <c r="R14" s="28">
        <f t="shared" si="11"/>
        <v>253.37960224905706</v>
      </c>
      <c r="S14" s="28">
        <f t="shared" si="11"/>
        <v>371.82319323348332</v>
      </c>
      <c r="T14" s="28">
        <f t="shared" si="11"/>
        <v>531.94965950224844</v>
      </c>
      <c r="U14" s="28">
        <f t="shared" si="11"/>
        <v>913.9389716383655</v>
      </c>
      <c r="V14" s="23">
        <f t="shared" si="0"/>
        <v>147957.22329917661</v>
      </c>
      <c r="W14" s="23">
        <f t="shared" si="8"/>
        <v>540911.22403037013</v>
      </c>
      <c r="X14" s="23">
        <f t="shared" si="8"/>
        <v>474491.04909071687</v>
      </c>
      <c r="Y14" s="23">
        <f t="shared" si="8"/>
        <v>470411.25635527493</v>
      </c>
      <c r="Z14" s="23">
        <f t="shared" si="8"/>
        <v>448374.40967853478</v>
      </c>
      <c r="AA14" s="23">
        <f t="shared" si="2"/>
        <v>458162.79122359969</v>
      </c>
    </row>
    <row r="15" spans="1:27" s="10" customFormat="1" x14ac:dyDescent="0.25">
      <c r="A15" s="76" t="s">
        <v>23</v>
      </c>
      <c r="B15" s="127">
        <f t="shared" si="5"/>
        <v>14</v>
      </c>
      <c r="C15" s="19" t="s">
        <v>18</v>
      </c>
      <c r="D15" s="20">
        <f t="shared" ref="D15:U15" si="12">+D16+D23</f>
        <v>771.51537586628365</v>
      </c>
      <c r="E15" s="20">
        <f t="shared" si="12"/>
        <v>5326.4826359759172</v>
      </c>
      <c r="F15" s="20">
        <f t="shared" si="12"/>
        <v>49457.868270096304</v>
      </c>
      <c r="G15" s="20">
        <f t="shared" si="12"/>
        <v>775514.86036978825</v>
      </c>
      <c r="H15" s="20">
        <f t="shared" si="12"/>
        <v>2591554.4444416459</v>
      </c>
      <c r="I15" s="20">
        <f t="shared" si="12"/>
        <v>6629598.5535264872</v>
      </c>
      <c r="J15" s="20">
        <f t="shared" si="12"/>
        <v>323839.52592934889</v>
      </c>
      <c r="K15" s="20">
        <f t="shared" si="12"/>
        <v>762688.62970328773</v>
      </c>
      <c r="L15" s="20">
        <f t="shared" si="12"/>
        <v>1214186.6774859594</v>
      </c>
      <c r="M15" s="20">
        <f t="shared" si="12"/>
        <v>1481921.9722953187</v>
      </c>
      <c r="N15" s="20">
        <f t="shared" si="12"/>
        <v>2591554.4444416459</v>
      </c>
      <c r="O15" s="20">
        <f t="shared" si="12"/>
        <v>4853383.8167587202</v>
      </c>
      <c r="P15" s="20">
        <f t="shared" si="12"/>
        <v>2749.0255514250289</v>
      </c>
      <c r="Q15" s="20">
        <f t="shared" si="12"/>
        <v>4369.5665449480475</v>
      </c>
      <c r="R15" s="20">
        <f t="shared" si="12"/>
        <v>5194.7656388972482</v>
      </c>
      <c r="S15" s="20">
        <f t="shared" si="12"/>
        <v>6589.9496930095256</v>
      </c>
      <c r="T15" s="20">
        <f t="shared" si="12"/>
        <v>10740.160423577858</v>
      </c>
      <c r="U15" s="20">
        <f t="shared" si="12"/>
        <v>17715.274356520513</v>
      </c>
      <c r="V15" s="18">
        <f t="shared" si="0"/>
        <v>117801.57000049643</v>
      </c>
      <c r="W15" s="18">
        <f t="shared" ref="W15:Z15" si="13">(K15*1000000)/(Q15*1000)</f>
        <v>174545.60351874804</v>
      </c>
      <c r="X15" s="18">
        <f t="shared" si="13"/>
        <v>233732.71517667707</v>
      </c>
      <c r="Y15" s="18">
        <f t="shared" si="13"/>
        <v>224876.06754681439</v>
      </c>
      <c r="Z15" s="18">
        <f t="shared" si="13"/>
        <v>241295.69226474591</v>
      </c>
      <c r="AA15" s="18">
        <f t="shared" si="2"/>
        <v>273966.05432601279</v>
      </c>
    </row>
    <row r="16" spans="1:27" s="10" customFormat="1" x14ac:dyDescent="0.25">
      <c r="A16" s="77" t="s">
        <v>24</v>
      </c>
      <c r="B16" s="128">
        <f t="shared" si="5"/>
        <v>15</v>
      </c>
      <c r="C16" s="27" t="s">
        <v>18</v>
      </c>
      <c r="D16" s="28">
        <f t="shared" ref="D16:U16" si="14">+D19+D22</f>
        <v>652.68403845809542</v>
      </c>
      <c r="E16" s="28">
        <f t="shared" si="14"/>
        <v>4304.9254934045148</v>
      </c>
      <c r="F16" s="28">
        <f t="shared" si="14"/>
        <v>45187.969461540575</v>
      </c>
      <c r="G16" s="28">
        <f t="shared" si="14"/>
        <v>648932.16821504582</v>
      </c>
      <c r="H16" s="28">
        <f t="shared" si="14"/>
        <v>2304442.2107411018</v>
      </c>
      <c r="I16" s="28">
        <f t="shared" si="14"/>
        <v>6028084.0884529483</v>
      </c>
      <c r="J16" s="28">
        <f t="shared" si="14"/>
        <v>308039.67574381718</v>
      </c>
      <c r="K16" s="28">
        <f t="shared" si="14"/>
        <v>670315.51024448953</v>
      </c>
      <c r="L16" s="28">
        <f t="shared" si="14"/>
        <v>1090276.3660415381</v>
      </c>
      <c r="M16" s="28">
        <f t="shared" si="14"/>
        <v>1286270.6521388229</v>
      </c>
      <c r="N16" s="28">
        <f t="shared" si="14"/>
        <v>2304442.2107411018</v>
      </c>
      <c r="O16" s="28">
        <f t="shared" si="14"/>
        <v>4432803.2886328306</v>
      </c>
      <c r="P16" s="28">
        <f t="shared" si="14"/>
        <v>2491.2436593034745</v>
      </c>
      <c r="Q16" s="28">
        <f t="shared" si="14"/>
        <v>3170.2633401230146</v>
      </c>
      <c r="R16" s="28">
        <f t="shared" si="14"/>
        <v>3786.767106095514</v>
      </c>
      <c r="S16" s="28">
        <f t="shared" si="14"/>
        <v>4056.9070698187502</v>
      </c>
      <c r="T16" s="28">
        <f t="shared" si="14"/>
        <v>6985.3993640734479</v>
      </c>
      <c r="U16" s="28">
        <f t="shared" si="14"/>
        <v>12158.459350289148</v>
      </c>
      <c r="V16" s="23">
        <f t="shared" si="0"/>
        <v>123648.95524909909</v>
      </c>
      <c r="W16" s="23">
        <f t="shared" ref="W16:Z16" si="15">(K16*1000000)/(Q16*1000)</f>
        <v>211438.43218351682</v>
      </c>
      <c r="X16" s="23">
        <f t="shared" si="15"/>
        <v>287917.4598000847</v>
      </c>
      <c r="Y16" s="23">
        <f t="shared" si="15"/>
        <v>317056.96729116584</v>
      </c>
      <c r="Z16" s="23">
        <f t="shared" si="15"/>
        <v>329894.12496486027</v>
      </c>
      <c r="AA16" s="23">
        <f t="shared" si="2"/>
        <v>364585.93650086201</v>
      </c>
    </row>
    <row r="17" spans="1:27" s="25" customFormat="1" x14ac:dyDescent="0.25">
      <c r="A17" s="26" t="s">
        <v>25</v>
      </c>
      <c r="B17" s="128">
        <f t="shared" si="5"/>
        <v>16</v>
      </c>
      <c r="C17" s="22" t="s">
        <v>15</v>
      </c>
      <c r="D17" s="185">
        <v>506.81519084133879</v>
      </c>
      <c r="E17" s="185">
        <v>3162.3926064404395</v>
      </c>
      <c r="F17" s="185">
        <v>36700.773933012766</v>
      </c>
      <c r="G17" s="185">
        <v>544587.25741908245</v>
      </c>
      <c r="H17" s="185">
        <v>1952499.8539072145</v>
      </c>
      <c r="I17" s="185">
        <v>4648696.9777351217</v>
      </c>
      <c r="J17" s="185">
        <v>282930.054391196</v>
      </c>
      <c r="K17" s="185">
        <v>574296.07471084513</v>
      </c>
      <c r="L17" s="185">
        <v>894442.54851855233</v>
      </c>
      <c r="M17" s="185">
        <v>1077683.0160661326</v>
      </c>
      <c r="N17" s="185">
        <v>1952499.8539072145</v>
      </c>
      <c r="O17" s="185">
        <v>3660361.9424731545</v>
      </c>
      <c r="P17" s="185">
        <v>2154.8780679078864</v>
      </c>
      <c r="Q17" s="185">
        <v>2989.2406947330705</v>
      </c>
      <c r="R17" s="185">
        <v>3419.9189998757333</v>
      </c>
      <c r="S17" s="185">
        <v>3354.6454697835329</v>
      </c>
      <c r="T17" s="185">
        <v>5483.9402110576739</v>
      </c>
      <c r="U17" s="185">
        <v>9240.0293873715964</v>
      </c>
      <c r="V17" s="23">
        <f t="shared" ref="V17:AA19" si="16">(J17*1000000)/(P17*1000)</f>
        <v>131297.47738621946</v>
      </c>
      <c r="W17" s="23">
        <f t="shared" si="16"/>
        <v>192121.05459514621</v>
      </c>
      <c r="X17" s="23">
        <f t="shared" si="16"/>
        <v>261539.10328023939</v>
      </c>
      <c r="Y17" s="23">
        <f t="shared" si="16"/>
        <v>321250.94164888695</v>
      </c>
      <c r="Z17" s="23">
        <f t="shared" si="16"/>
        <v>356039.5953935174</v>
      </c>
      <c r="AA17" s="23">
        <f t="shared" si="16"/>
        <v>396141.80745743006</v>
      </c>
    </row>
    <row r="18" spans="1:27" s="25" customFormat="1" x14ac:dyDescent="0.25">
      <c r="A18" s="26" t="s">
        <v>26</v>
      </c>
      <c r="B18" s="128">
        <f t="shared" si="5"/>
        <v>17</v>
      </c>
      <c r="C18" s="22" t="s">
        <v>15</v>
      </c>
      <c r="D18" s="185">
        <v>97.414994037946201</v>
      </c>
      <c r="E18" s="185">
        <v>441.10180063259963</v>
      </c>
      <c r="F18" s="185">
        <v>2853.6984864875099</v>
      </c>
      <c r="G18" s="185">
        <v>57026.263599813188</v>
      </c>
      <c r="H18" s="185">
        <v>186148.67780764541</v>
      </c>
      <c r="I18" s="185">
        <v>791543.34494159836</v>
      </c>
      <c r="J18" s="185">
        <v>19440.663920445644</v>
      </c>
      <c r="K18" s="185">
        <v>41979.231140720454</v>
      </c>
      <c r="L18" s="185">
        <v>46072.456134448366</v>
      </c>
      <c r="M18" s="185">
        <v>64674.592342904885</v>
      </c>
      <c r="N18" s="185">
        <v>186148.67780764541</v>
      </c>
      <c r="O18" s="185">
        <v>366836.51729445212</v>
      </c>
      <c r="P18" s="185">
        <v>294.3198924711395</v>
      </c>
      <c r="Q18" s="185">
        <v>149.46203473665352</v>
      </c>
      <c r="R18" s="185">
        <v>177.70332253836946</v>
      </c>
      <c r="S18" s="185">
        <v>263.12355671513865</v>
      </c>
      <c r="T18" s="185">
        <v>777.80711408411082</v>
      </c>
      <c r="U18" s="185">
        <v>1568.0934853963345</v>
      </c>
      <c r="V18" s="23">
        <f t="shared" si="16"/>
        <v>66052.837126365703</v>
      </c>
      <c r="W18" s="23">
        <f t="shared" si="16"/>
        <v>280868.85886898485</v>
      </c>
      <c r="X18" s="23">
        <f t="shared" si="16"/>
        <v>259266.14919932329</v>
      </c>
      <c r="Y18" s="23">
        <f t="shared" si="16"/>
        <v>245795.52340470423</v>
      </c>
      <c r="Z18" s="23">
        <f t="shared" si="16"/>
        <v>239324.98743835813</v>
      </c>
      <c r="AA18" s="23">
        <f t="shared" si="16"/>
        <v>233937.91295659551</v>
      </c>
    </row>
    <row r="19" spans="1:27" s="10" customFormat="1" x14ac:dyDescent="0.25">
      <c r="A19" s="77" t="s">
        <v>27</v>
      </c>
      <c r="B19" s="128">
        <f t="shared" si="5"/>
        <v>18</v>
      </c>
      <c r="C19" s="27" t="s">
        <v>18</v>
      </c>
      <c r="D19" s="28">
        <f>+D18+D17</f>
        <v>604.23018487928493</v>
      </c>
      <c r="E19" s="28">
        <f t="shared" ref="E19:I19" si="17">+E18+E17</f>
        <v>3603.4944070730389</v>
      </c>
      <c r="F19" s="28">
        <f t="shared" si="17"/>
        <v>39554.472419500278</v>
      </c>
      <c r="G19" s="28">
        <f t="shared" si="17"/>
        <v>601613.52101889567</v>
      </c>
      <c r="H19" s="28">
        <f t="shared" si="17"/>
        <v>2138648.5317148599</v>
      </c>
      <c r="I19" s="28">
        <f t="shared" si="17"/>
        <v>5440240.3226767201</v>
      </c>
      <c r="J19" s="28">
        <f>+J18+J17</f>
        <v>302370.71831164166</v>
      </c>
      <c r="K19" s="28">
        <f t="shared" ref="K19:O19" si="18">+K18+K17</f>
        <v>616275.30585156556</v>
      </c>
      <c r="L19" s="28">
        <f t="shared" si="18"/>
        <v>940515.00465300074</v>
      </c>
      <c r="M19" s="28">
        <f t="shared" si="18"/>
        <v>1142357.6084090373</v>
      </c>
      <c r="N19" s="28">
        <f t="shared" si="18"/>
        <v>2138648.5317148599</v>
      </c>
      <c r="O19" s="28">
        <f t="shared" si="18"/>
        <v>4027198.4597676066</v>
      </c>
      <c r="P19" s="28">
        <f>+P18+P17</f>
        <v>2449.197960379026</v>
      </c>
      <c r="Q19" s="28">
        <f t="shared" ref="Q19:U19" si="19">+Q18+Q17</f>
        <v>3138.7027294697241</v>
      </c>
      <c r="R19" s="28">
        <f t="shared" si="19"/>
        <v>3597.6223224141027</v>
      </c>
      <c r="S19" s="28">
        <f t="shared" si="19"/>
        <v>3617.7690264986713</v>
      </c>
      <c r="T19" s="28">
        <f t="shared" si="19"/>
        <v>6261.747325141785</v>
      </c>
      <c r="U19" s="28">
        <f t="shared" si="19"/>
        <v>10808.12287276793</v>
      </c>
      <c r="V19" s="23">
        <f t="shared" si="16"/>
        <v>123457.03499804004</v>
      </c>
      <c r="W19" s="23">
        <f t="shared" si="16"/>
        <v>196347.14051294807</v>
      </c>
      <c r="X19" s="23">
        <f t="shared" si="16"/>
        <v>261426.83149183085</v>
      </c>
      <c r="Y19" s="23">
        <f t="shared" si="16"/>
        <v>315763.00201636349</v>
      </c>
      <c r="Z19" s="23">
        <f t="shared" si="16"/>
        <v>341541.81263876444</v>
      </c>
      <c r="AA19" s="23">
        <f t="shared" si="16"/>
        <v>372608.50077070337</v>
      </c>
    </row>
    <row r="20" spans="1:27" s="25" customFormat="1" x14ac:dyDescent="0.25">
      <c r="A20" s="29" t="s">
        <v>28</v>
      </c>
      <c r="B20" s="128">
        <f t="shared" si="5"/>
        <v>19</v>
      </c>
      <c r="C20" s="22" t="s">
        <v>15</v>
      </c>
      <c r="D20" s="185">
        <v>133.69674413412528</v>
      </c>
      <c r="E20" s="185">
        <v>1916.0408860271634</v>
      </c>
      <c r="F20" s="185">
        <v>16766.122285416677</v>
      </c>
      <c r="G20" s="185">
        <v>215429.71530087874</v>
      </c>
      <c r="H20" s="185">
        <v>859129.00356490666</v>
      </c>
      <c r="I20" s="185">
        <v>1856026.1373943887</v>
      </c>
      <c r="J20" s="185">
        <v>15642.12328507683</v>
      </c>
      <c r="K20" s="185">
        <v>147617.12607812131</v>
      </c>
      <c r="L20" s="185">
        <v>445712.01155034453</v>
      </c>
      <c r="M20" s="185">
        <v>655199.33209994668</v>
      </c>
      <c r="N20" s="185">
        <v>859129.00356490666</v>
      </c>
      <c r="O20" s="185">
        <v>1280634.766676771</v>
      </c>
      <c r="P20" s="185">
        <v>42.045698924448494</v>
      </c>
      <c r="Q20" s="185">
        <v>31.560610653290336</v>
      </c>
      <c r="R20" s="185">
        <v>189.1447836814113</v>
      </c>
      <c r="S20" s="185">
        <v>439.13804332007874</v>
      </c>
      <c r="T20" s="185">
        <v>723.65203893166313</v>
      </c>
      <c r="U20" s="185">
        <v>1350.3364775212181</v>
      </c>
      <c r="V20" s="30" t="s">
        <v>29</v>
      </c>
      <c r="W20" s="30" t="s">
        <v>29</v>
      </c>
      <c r="X20" s="30" t="s">
        <v>29</v>
      </c>
      <c r="Y20" s="30" t="s">
        <v>29</v>
      </c>
      <c r="Z20" s="30" t="s">
        <v>29</v>
      </c>
      <c r="AA20" s="30" t="s">
        <v>29</v>
      </c>
    </row>
    <row r="21" spans="1:27" s="25" customFormat="1" x14ac:dyDescent="0.25">
      <c r="A21" s="29" t="s">
        <v>30</v>
      </c>
      <c r="B21" s="128">
        <f t="shared" si="5"/>
        <v>20</v>
      </c>
      <c r="C21" s="22" t="s">
        <v>15</v>
      </c>
      <c r="D21" s="185">
        <v>85.242890555314773</v>
      </c>
      <c r="E21" s="185">
        <v>1214.609799695688</v>
      </c>
      <c r="F21" s="185">
        <v>11132.62524337638</v>
      </c>
      <c r="G21" s="185">
        <v>168111.06810472856</v>
      </c>
      <c r="H21" s="185">
        <v>693335.32453866489</v>
      </c>
      <c r="I21" s="185">
        <v>1268182.3716181605</v>
      </c>
      <c r="J21" s="185">
        <v>9973.1658529013348</v>
      </c>
      <c r="K21" s="185">
        <v>93576.921685197376</v>
      </c>
      <c r="L21" s="185">
        <v>295950.65016180719</v>
      </c>
      <c r="M21" s="185">
        <v>511286.28837016108</v>
      </c>
      <c r="N21" s="185">
        <v>693335.32453866489</v>
      </c>
      <c r="O21" s="185">
        <v>875029.93781154661</v>
      </c>
      <c r="P21" s="185"/>
      <c r="Q21" s="185"/>
      <c r="R21" s="185"/>
      <c r="S21" s="185"/>
      <c r="T21" s="185"/>
      <c r="U21" s="185"/>
      <c r="V21" s="30" t="s">
        <v>29</v>
      </c>
      <c r="W21" s="30" t="s">
        <v>29</v>
      </c>
      <c r="X21" s="30" t="s">
        <v>29</v>
      </c>
      <c r="Y21" s="30" t="s">
        <v>29</v>
      </c>
      <c r="Z21" s="30" t="s">
        <v>29</v>
      </c>
      <c r="AA21" s="30" t="s">
        <v>29</v>
      </c>
    </row>
    <row r="22" spans="1:27" s="10" customFormat="1" x14ac:dyDescent="0.25">
      <c r="A22" s="78" t="s">
        <v>31</v>
      </c>
      <c r="B22" s="128">
        <f t="shared" si="5"/>
        <v>21</v>
      </c>
      <c r="C22" s="27" t="s">
        <v>18</v>
      </c>
      <c r="D22" s="28">
        <f t="shared" ref="D22:U22" si="20">+D20-D21</f>
        <v>48.453853578810509</v>
      </c>
      <c r="E22" s="28">
        <f t="shared" si="20"/>
        <v>701.4310863314754</v>
      </c>
      <c r="F22" s="28">
        <f t="shared" si="20"/>
        <v>5633.4970420402969</v>
      </c>
      <c r="G22" s="28">
        <f t="shared" si="20"/>
        <v>47318.647196150181</v>
      </c>
      <c r="H22" s="28">
        <f t="shared" si="20"/>
        <v>165793.67902624176</v>
      </c>
      <c r="I22" s="28">
        <f t="shared" si="20"/>
        <v>587843.76577622816</v>
      </c>
      <c r="J22" s="28">
        <f t="shared" si="20"/>
        <v>5668.9574321754953</v>
      </c>
      <c r="K22" s="28">
        <f t="shared" si="20"/>
        <v>54040.20439292393</v>
      </c>
      <c r="L22" s="28">
        <f t="shared" si="20"/>
        <v>149761.36138853733</v>
      </c>
      <c r="M22" s="28">
        <f t="shared" si="20"/>
        <v>143913.0437297856</v>
      </c>
      <c r="N22" s="28">
        <f t="shared" si="20"/>
        <v>165793.67902624176</v>
      </c>
      <c r="O22" s="28">
        <f t="shared" si="20"/>
        <v>405604.82886522438</v>
      </c>
      <c r="P22" s="28">
        <f t="shared" si="20"/>
        <v>42.045698924448494</v>
      </c>
      <c r="Q22" s="28">
        <f t="shared" si="20"/>
        <v>31.560610653290336</v>
      </c>
      <c r="R22" s="28">
        <f t="shared" si="20"/>
        <v>189.1447836814113</v>
      </c>
      <c r="S22" s="28">
        <f t="shared" si="20"/>
        <v>439.13804332007874</v>
      </c>
      <c r="T22" s="28">
        <f t="shared" si="20"/>
        <v>723.65203893166313</v>
      </c>
      <c r="U22" s="28">
        <f t="shared" si="20"/>
        <v>1350.3364775212181</v>
      </c>
      <c r="V22" s="23">
        <f>(J22*1000000)/(P22*1000)</f>
        <v>134828.47418857252</v>
      </c>
      <c r="W22" s="23">
        <f t="shared" ref="W22:AA22" si="21">(K22*1000000)/(Q22*1000)</f>
        <v>1712267.3888215781</v>
      </c>
      <c r="X22" s="23">
        <f t="shared" si="21"/>
        <v>791781.61022293905</v>
      </c>
      <c r="Y22" s="23">
        <f t="shared" si="21"/>
        <v>327717.09470156359</v>
      </c>
      <c r="Z22" s="23">
        <f t="shared" si="21"/>
        <v>229106.90512391165</v>
      </c>
      <c r="AA22" s="23">
        <f t="shared" si="21"/>
        <v>300373.15559288149</v>
      </c>
    </row>
    <row r="23" spans="1:27" s="10" customFormat="1" x14ac:dyDescent="0.25">
      <c r="A23" s="77" t="s">
        <v>32</v>
      </c>
      <c r="B23" s="128">
        <f t="shared" si="5"/>
        <v>22</v>
      </c>
      <c r="C23" s="27" t="s">
        <v>18</v>
      </c>
      <c r="D23" s="28">
        <f t="shared" ref="D23:U23" si="22">+D24+D26</f>
        <v>118.83133740818823</v>
      </c>
      <c r="E23" s="28">
        <f t="shared" si="22"/>
        <v>1021.557142571402</v>
      </c>
      <c r="F23" s="28">
        <f t="shared" si="22"/>
        <v>4269.8988085557276</v>
      </c>
      <c r="G23" s="28">
        <f t="shared" si="22"/>
        <v>126582.69215474246</v>
      </c>
      <c r="H23" s="28">
        <f t="shared" si="22"/>
        <v>287112.23370054417</v>
      </c>
      <c r="I23" s="28">
        <f t="shared" si="22"/>
        <v>601514.46507353929</v>
      </c>
      <c r="J23" s="28">
        <f t="shared" si="22"/>
        <v>15799.850185531701</v>
      </c>
      <c r="K23" s="28">
        <f t="shared" si="22"/>
        <v>92373.119458798144</v>
      </c>
      <c r="L23" s="28">
        <f t="shared" si="22"/>
        <v>123910.31144442128</v>
      </c>
      <c r="M23" s="28">
        <f t="shared" si="22"/>
        <v>195651.32015649581</v>
      </c>
      <c r="N23" s="28">
        <f t="shared" si="22"/>
        <v>287112.23370054417</v>
      </c>
      <c r="O23" s="28">
        <f t="shared" si="22"/>
        <v>420580.52812588937</v>
      </c>
      <c r="P23" s="28">
        <f t="shared" si="22"/>
        <v>257.78189212155451</v>
      </c>
      <c r="Q23" s="28">
        <f t="shared" si="22"/>
        <v>1199.3032048250329</v>
      </c>
      <c r="R23" s="28">
        <f t="shared" si="22"/>
        <v>1407.9985328017342</v>
      </c>
      <c r="S23" s="28">
        <f t="shared" si="22"/>
        <v>2533.0426231907754</v>
      </c>
      <c r="T23" s="28">
        <f t="shared" si="22"/>
        <v>3754.7610595044107</v>
      </c>
      <c r="U23" s="28">
        <f t="shared" si="22"/>
        <v>5556.8150062313662</v>
      </c>
      <c r="V23" s="23">
        <f>(J23*1000000)/(P23*1000)</f>
        <v>61291.544008379911</v>
      </c>
      <c r="W23" s="23">
        <f t="shared" ref="W23:Z23" si="23">(K23*1000000)/(Q23*1000)</f>
        <v>77022.3235351685</v>
      </c>
      <c r="X23" s="23">
        <f t="shared" si="23"/>
        <v>88004.574264616487</v>
      </c>
      <c r="Y23" s="23">
        <f t="shared" si="23"/>
        <v>77239.647831129449</v>
      </c>
      <c r="Z23" s="23">
        <f t="shared" si="23"/>
        <v>76466.17964511436</v>
      </c>
      <c r="AA23" s="23">
        <f>(O23*1000000)/(U23*1000)</f>
        <v>75687.336658545202</v>
      </c>
    </row>
    <row r="24" spans="1:27" s="10" customFormat="1" x14ac:dyDescent="0.25">
      <c r="A24" s="77" t="s">
        <v>33</v>
      </c>
      <c r="B24" s="128">
        <f t="shared" si="5"/>
        <v>23</v>
      </c>
      <c r="C24" s="22" t="s">
        <v>15</v>
      </c>
      <c r="D24" s="185">
        <v>67.198624139143135</v>
      </c>
      <c r="E24" s="185">
        <v>722.22212355290969</v>
      </c>
      <c r="F24" s="185">
        <v>3345.6651667662095</v>
      </c>
      <c r="G24" s="185">
        <v>83136.999441730761</v>
      </c>
      <c r="H24" s="185">
        <v>154933.04551965595</v>
      </c>
      <c r="I24" s="185">
        <v>292749.62906742253</v>
      </c>
      <c r="J24" s="185">
        <v>7113.4406245745731</v>
      </c>
      <c r="K24" s="185">
        <v>56749.69841336432</v>
      </c>
      <c r="L24" s="185">
        <v>93436.173398338375</v>
      </c>
      <c r="M24" s="185">
        <v>111465.54219138502</v>
      </c>
      <c r="N24" s="185">
        <v>154933.04551965595</v>
      </c>
      <c r="O24" s="185">
        <v>204615.87426846917</v>
      </c>
      <c r="P24" s="185">
        <v>94.972276044783243</v>
      </c>
      <c r="Q24" s="185">
        <v>441.84854914606473</v>
      </c>
      <c r="R24" s="185">
        <v>843.50582647000306</v>
      </c>
      <c r="S24" s="185">
        <v>1110.5951877757916</v>
      </c>
      <c r="T24" s="185">
        <v>1621.7364133882359</v>
      </c>
      <c r="U24" s="185">
        <v>2241.2902364014676</v>
      </c>
      <c r="V24" s="23">
        <f>(J24*1000000)/(P24*1000)</f>
        <v>74900.180566592942</v>
      </c>
      <c r="W24" s="23">
        <f t="shared" ref="W24:Z24" si="24">(K24*1000000)/(Q24*1000)</f>
        <v>128436.99164123362</v>
      </c>
      <c r="X24" s="23">
        <f t="shared" si="24"/>
        <v>110771.22465100266</v>
      </c>
      <c r="Y24" s="23">
        <f t="shared" si="24"/>
        <v>100365.59082758048</v>
      </c>
      <c r="Z24" s="23">
        <f t="shared" si="24"/>
        <v>95535.281961117144</v>
      </c>
      <c r="AA24" s="23">
        <f>(O24*1000000)/(U24*1000)</f>
        <v>91293.787366420176</v>
      </c>
    </row>
    <row r="25" spans="1:27" s="31" customFormat="1" x14ac:dyDescent="0.25">
      <c r="A25" s="26" t="s">
        <v>34</v>
      </c>
      <c r="B25" s="128">
        <f t="shared" si="5"/>
        <v>24</v>
      </c>
      <c r="C25" s="22" t="s">
        <v>15</v>
      </c>
      <c r="D25" s="185">
        <v>51.632713269045098</v>
      </c>
      <c r="E25" s="185">
        <v>299.33501901849235</v>
      </c>
      <c r="F25" s="185">
        <v>924.23364178951772</v>
      </c>
      <c r="G25" s="185">
        <v>43445.692713011704</v>
      </c>
      <c r="H25" s="185">
        <v>132179.18818088822</v>
      </c>
      <c r="I25" s="185">
        <v>308764.83600611676</v>
      </c>
      <c r="J25" s="185">
        <v>8686.4095609571286</v>
      </c>
      <c r="K25" s="185">
        <v>35623.421045433817</v>
      </c>
      <c r="L25" s="185">
        <v>30474.13804608291</v>
      </c>
      <c r="M25" s="185">
        <v>84185.777965110799</v>
      </c>
      <c r="N25" s="185">
        <v>132179.18818088822</v>
      </c>
      <c r="O25" s="185">
        <v>215964.6538574202</v>
      </c>
      <c r="P25" s="185">
        <v>162.80961607677128</v>
      </c>
      <c r="Q25" s="185">
        <v>757.45465567896815</v>
      </c>
      <c r="R25" s="185">
        <v>564.49270633173114</v>
      </c>
      <c r="S25" s="185">
        <v>1422.4474354149838</v>
      </c>
      <c r="T25" s="185">
        <v>2133.0246461161751</v>
      </c>
      <c r="U25" s="185">
        <v>3315.5247698298986</v>
      </c>
      <c r="V25" s="23">
        <f>(J25*1000000)/(P25*1000)</f>
        <v>53353.172682755649</v>
      </c>
      <c r="W25" s="23">
        <f t="shared" ref="W25:Z25" si="25">(K25*1000000)/(Q25*1000)</f>
        <v>47030.433806630506</v>
      </c>
      <c r="X25" s="23">
        <f t="shared" si="25"/>
        <v>53984.998750673672</v>
      </c>
      <c r="Y25" s="23">
        <f t="shared" si="25"/>
        <v>59183.753205298926</v>
      </c>
      <c r="Z25" s="23">
        <f t="shared" si="25"/>
        <v>61967.961046095232</v>
      </c>
      <c r="AA25" s="23">
        <f>(O25*1000000)/(U25*1000)</f>
        <v>65137.397199569154</v>
      </c>
    </row>
    <row r="26" spans="1:27" s="10" customFormat="1" x14ac:dyDescent="0.25">
      <c r="A26" s="77" t="s">
        <v>35</v>
      </c>
      <c r="B26" s="129">
        <f t="shared" si="5"/>
        <v>25</v>
      </c>
      <c r="C26" s="27" t="s">
        <v>18</v>
      </c>
      <c r="D26" s="28">
        <f>+D25</f>
        <v>51.632713269045098</v>
      </c>
      <c r="E26" s="28">
        <f t="shared" ref="E26:I26" si="26">+E25</f>
        <v>299.33501901849235</v>
      </c>
      <c r="F26" s="28">
        <f t="shared" si="26"/>
        <v>924.23364178951772</v>
      </c>
      <c r="G26" s="28">
        <f t="shared" si="26"/>
        <v>43445.692713011704</v>
      </c>
      <c r="H26" s="28">
        <f t="shared" si="26"/>
        <v>132179.18818088822</v>
      </c>
      <c r="I26" s="28">
        <f t="shared" si="26"/>
        <v>308764.83600611676</v>
      </c>
      <c r="J26" s="28">
        <f>+J25</f>
        <v>8686.4095609571286</v>
      </c>
      <c r="K26" s="28">
        <f t="shared" ref="K26:O26" si="27">+K25</f>
        <v>35623.421045433817</v>
      </c>
      <c r="L26" s="28">
        <f t="shared" si="27"/>
        <v>30474.13804608291</v>
      </c>
      <c r="M26" s="28">
        <f t="shared" si="27"/>
        <v>84185.777965110799</v>
      </c>
      <c r="N26" s="28">
        <f t="shared" si="27"/>
        <v>132179.18818088822</v>
      </c>
      <c r="O26" s="28">
        <f t="shared" si="27"/>
        <v>215964.6538574202</v>
      </c>
      <c r="P26" s="28">
        <f>+P25</f>
        <v>162.80961607677128</v>
      </c>
      <c r="Q26" s="28">
        <f t="shared" ref="Q26:U26" si="28">+Q25</f>
        <v>757.45465567896815</v>
      </c>
      <c r="R26" s="28">
        <f t="shared" si="28"/>
        <v>564.49270633173114</v>
      </c>
      <c r="S26" s="28">
        <f t="shared" si="28"/>
        <v>1422.4474354149838</v>
      </c>
      <c r="T26" s="28">
        <f t="shared" si="28"/>
        <v>2133.0246461161751</v>
      </c>
      <c r="U26" s="28">
        <f t="shared" si="28"/>
        <v>3315.5247698298986</v>
      </c>
      <c r="V26" s="23">
        <f>+V25</f>
        <v>53353.172682755649</v>
      </c>
      <c r="W26" s="23">
        <f t="shared" ref="W26:AA26" si="29">+W25</f>
        <v>47030.433806630506</v>
      </c>
      <c r="X26" s="23">
        <f t="shared" si="29"/>
        <v>53984.998750673672</v>
      </c>
      <c r="Y26" s="23">
        <f t="shared" si="29"/>
        <v>59183.753205298926</v>
      </c>
      <c r="Z26" s="23">
        <f t="shared" si="29"/>
        <v>61967.961046095232</v>
      </c>
      <c r="AA26" s="23">
        <f t="shared" si="29"/>
        <v>65137.397199569154</v>
      </c>
    </row>
    <row r="27" spans="1:27" s="10" customFormat="1" x14ac:dyDescent="0.25">
      <c r="A27" s="79" t="s">
        <v>36</v>
      </c>
      <c r="B27" s="65">
        <f t="shared" si="5"/>
        <v>26</v>
      </c>
      <c r="C27" s="19" t="s">
        <v>18</v>
      </c>
      <c r="D27" s="20">
        <f t="shared" ref="D27:U27" si="30">+D28-D21</f>
        <v>4753.1895443150142</v>
      </c>
      <c r="E27" s="20">
        <f t="shared" si="30"/>
        <v>29699.925039726524</v>
      </c>
      <c r="F27" s="20">
        <f t="shared" si="30"/>
        <v>359328.96720019495</v>
      </c>
      <c r="G27" s="20">
        <f t="shared" si="30"/>
        <v>5501396.692489706</v>
      </c>
      <c r="H27" s="20">
        <f t="shared" si="30"/>
        <v>14182274.598044844</v>
      </c>
      <c r="I27" s="20">
        <f t="shared" si="30"/>
        <v>32599775.185557082</v>
      </c>
      <c r="J27" s="20">
        <f t="shared" si="30"/>
        <v>2512415.4431444728</v>
      </c>
      <c r="K27" s="20">
        <f t="shared" si="30"/>
        <v>7077241.8951006234</v>
      </c>
      <c r="L27" s="20">
        <f t="shared" si="30"/>
        <v>8655425.1950858943</v>
      </c>
      <c r="M27" s="20">
        <f t="shared" si="30"/>
        <v>10364005.240009597</v>
      </c>
      <c r="N27" s="20">
        <f t="shared" si="30"/>
        <v>14182274.598044844</v>
      </c>
      <c r="O27" s="20">
        <f t="shared" si="30"/>
        <v>18154189.421636309</v>
      </c>
      <c r="P27" s="20">
        <f t="shared" si="30"/>
        <v>16639.765339499998</v>
      </c>
      <c r="Q27" s="20">
        <f t="shared" si="30"/>
        <v>24538.14935</v>
      </c>
      <c r="R27" s="20">
        <f t="shared" si="30"/>
        <v>31642.080390225805</v>
      </c>
      <c r="S27" s="20">
        <f t="shared" si="30"/>
        <v>34894.458341717123</v>
      </c>
      <c r="T27" s="20">
        <f t="shared" si="30"/>
        <v>41305.659605151057</v>
      </c>
      <c r="U27" s="20">
        <f t="shared" si="30"/>
        <v>50451.686036224492</v>
      </c>
      <c r="V27" s="18">
        <f>(J27*1000000)/(P27*1000)</f>
        <v>150988.63426760121</v>
      </c>
      <c r="W27" s="18">
        <f t="shared" ref="W27:AA27" si="31">(K27*1000000)/(Q27*1000)</f>
        <v>288417.91588087397</v>
      </c>
      <c r="X27" s="18">
        <f t="shared" si="31"/>
        <v>273541.59677059489</v>
      </c>
      <c r="Y27" s="18">
        <f t="shared" si="31"/>
        <v>297010.0621283807</v>
      </c>
      <c r="Z27" s="18">
        <f t="shared" si="31"/>
        <v>343349.42798676994</v>
      </c>
      <c r="AA27" s="18">
        <f t="shared" si="31"/>
        <v>359833.15619227343</v>
      </c>
    </row>
    <row r="28" spans="1:27" s="9" customFormat="1" x14ac:dyDescent="0.25">
      <c r="A28" s="32" t="s">
        <v>37</v>
      </c>
      <c r="B28" s="21"/>
      <c r="C28" s="33" t="s">
        <v>15</v>
      </c>
      <c r="D28" s="186">
        <v>4838.4324348703294</v>
      </c>
      <c r="E28" s="186">
        <v>30914.534839422213</v>
      </c>
      <c r="F28" s="186">
        <v>370461.59244357131</v>
      </c>
      <c r="G28" s="186">
        <v>5669507.7605944341</v>
      </c>
      <c r="H28" s="186">
        <v>14875609.922583509</v>
      </c>
      <c r="I28" s="186">
        <v>33867957.557175241</v>
      </c>
      <c r="J28" s="186">
        <v>2522388.6089973743</v>
      </c>
      <c r="K28" s="186">
        <v>7170818.8167858208</v>
      </c>
      <c r="L28" s="186">
        <v>8951375.8452477008</v>
      </c>
      <c r="M28" s="186">
        <v>10875291.528379757</v>
      </c>
      <c r="N28" s="186">
        <v>14875609.922583509</v>
      </c>
      <c r="O28" s="186">
        <v>19029219.359447856</v>
      </c>
      <c r="P28" s="186">
        <v>16639.765339499998</v>
      </c>
      <c r="Q28" s="186">
        <v>24538.14935</v>
      </c>
      <c r="R28" s="186">
        <v>31642.080390225805</v>
      </c>
      <c r="S28" s="186">
        <v>34894.458341717123</v>
      </c>
      <c r="T28" s="186">
        <v>41305.659605151057</v>
      </c>
      <c r="U28" s="186">
        <v>50451.686036224492</v>
      </c>
      <c r="V28" s="35">
        <f>(J28*1000000)/(P28*1000)</f>
        <v>151587.99162928393</v>
      </c>
      <c r="W28" s="35">
        <f t="shared" ref="W28:Z28" si="32">(K28*1000000)/(Q28*1000)</f>
        <v>292231.44396526465</v>
      </c>
      <c r="X28" s="35">
        <f t="shared" si="32"/>
        <v>282894.6685823088</v>
      </c>
      <c r="Y28" s="35">
        <f t="shared" si="32"/>
        <v>311662.42564591119</v>
      </c>
      <c r="Z28" s="35">
        <f t="shared" si="32"/>
        <v>360134.90801944328</v>
      </c>
      <c r="AA28" s="35">
        <f>(O28*1000000)/(U28*1000)</f>
        <v>377177.07483125158</v>
      </c>
    </row>
    <row r="29" spans="1:27" s="36" customFormat="1" x14ac:dyDescent="0.25">
      <c r="A29" s="36" t="s">
        <v>38</v>
      </c>
      <c r="B29" s="37"/>
      <c r="C29" s="38"/>
      <c r="D29" s="39">
        <f t="shared" ref="D29:U29" si="33">+D8+D9+D15</f>
        <v>4753.1895443150142</v>
      </c>
      <c r="E29" s="39">
        <f t="shared" si="33"/>
        <v>29699.925039726524</v>
      </c>
      <c r="F29" s="39">
        <f t="shared" si="33"/>
        <v>359328.96720019501</v>
      </c>
      <c r="G29" s="39">
        <f t="shared" si="33"/>
        <v>5501396.6924897069</v>
      </c>
      <c r="H29" s="39">
        <f t="shared" si="33"/>
        <v>14182274.598044842</v>
      </c>
      <c r="I29" s="39">
        <f t="shared" si="33"/>
        <v>32599775.185557086</v>
      </c>
      <c r="J29" s="39">
        <f t="shared" si="33"/>
        <v>2512415.4431444728</v>
      </c>
      <c r="K29" s="39">
        <f t="shared" si="33"/>
        <v>7077241.8951006224</v>
      </c>
      <c r="L29" s="39">
        <f t="shared" si="33"/>
        <v>8655425.1950858943</v>
      </c>
      <c r="M29" s="39">
        <f t="shared" si="33"/>
        <v>10364005.240009595</v>
      </c>
      <c r="N29" s="39">
        <f t="shared" si="33"/>
        <v>14182274.598044842</v>
      </c>
      <c r="O29" s="39">
        <f t="shared" si="33"/>
        <v>18154189.421636306</v>
      </c>
      <c r="P29" s="39">
        <f t="shared" si="33"/>
        <v>16639.765339499998</v>
      </c>
      <c r="Q29" s="39">
        <f t="shared" si="33"/>
        <v>24538.14935</v>
      </c>
      <c r="R29" s="39">
        <f t="shared" si="33"/>
        <v>31642.080390225805</v>
      </c>
      <c r="S29" s="39">
        <f t="shared" si="33"/>
        <v>34894.458341717123</v>
      </c>
      <c r="T29" s="39">
        <f t="shared" si="33"/>
        <v>41305.659605151057</v>
      </c>
      <c r="U29" s="39">
        <f t="shared" si="33"/>
        <v>50451.686036224499</v>
      </c>
      <c r="V29" s="40"/>
      <c r="W29" s="40"/>
      <c r="X29" s="40"/>
      <c r="Y29" s="40"/>
      <c r="Z29" s="40"/>
      <c r="AA29" s="40"/>
    </row>
    <row r="30" spans="1:27" s="36" customFormat="1" x14ac:dyDescent="0.25">
      <c r="A30" s="89" t="s">
        <v>72</v>
      </c>
      <c r="B30" s="37"/>
      <c r="C30" s="38"/>
      <c r="D30" s="43" t="b">
        <f t="shared" ref="D30:U30" si="34">EXACT(D29,D27)</f>
        <v>1</v>
      </c>
      <c r="E30" s="43" t="b">
        <f t="shared" si="34"/>
        <v>1</v>
      </c>
      <c r="F30" s="43" t="b">
        <f t="shared" si="34"/>
        <v>1</v>
      </c>
      <c r="G30" s="43" t="b">
        <f t="shared" si="34"/>
        <v>1</v>
      </c>
      <c r="H30" s="43" t="b">
        <f t="shared" si="34"/>
        <v>1</v>
      </c>
      <c r="I30" s="43" t="b">
        <f t="shared" si="34"/>
        <v>1</v>
      </c>
      <c r="J30" s="43" t="b">
        <f t="shared" si="34"/>
        <v>1</v>
      </c>
      <c r="K30" s="43" t="b">
        <f t="shared" si="34"/>
        <v>1</v>
      </c>
      <c r="L30" s="43" t="b">
        <f t="shared" si="34"/>
        <v>1</v>
      </c>
      <c r="M30" s="43" t="b">
        <f t="shared" si="34"/>
        <v>1</v>
      </c>
      <c r="N30" s="43" t="b">
        <f t="shared" si="34"/>
        <v>1</v>
      </c>
      <c r="O30" s="43" t="b">
        <f t="shared" si="34"/>
        <v>1</v>
      </c>
      <c r="P30" s="43" t="b">
        <f t="shared" si="34"/>
        <v>1</v>
      </c>
      <c r="Q30" s="43" t="b">
        <f t="shared" si="34"/>
        <v>1</v>
      </c>
      <c r="R30" s="43" t="b">
        <f t="shared" si="34"/>
        <v>1</v>
      </c>
      <c r="S30" s="43" t="b">
        <f t="shared" si="34"/>
        <v>1</v>
      </c>
      <c r="T30" s="43" t="b">
        <f t="shared" si="34"/>
        <v>1</v>
      </c>
      <c r="U30" s="43" t="b">
        <f t="shared" si="34"/>
        <v>1</v>
      </c>
      <c r="V30" s="40"/>
      <c r="W30" s="40"/>
      <c r="X30" s="40"/>
      <c r="Y30" s="40"/>
      <c r="Z30" s="40"/>
      <c r="AA30" s="40"/>
    </row>
    <row r="31" spans="1:27" s="36" customFormat="1" x14ac:dyDescent="0.25">
      <c r="A31" s="89" t="s">
        <v>72</v>
      </c>
      <c r="B31" s="37"/>
      <c r="C31" s="38"/>
      <c r="D31" s="43"/>
      <c r="E31" s="43"/>
      <c r="F31" s="43"/>
      <c r="G31" s="43"/>
      <c r="H31" s="43"/>
      <c r="I31" s="43"/>
      <c r="J31" s="43"/>
      <c r="K31" s="43"/>
      <c r="L31" s="43"/>
      <c r="M31" s="43"/>
      <c r="N31" s="43"/>
      <c r="O31" s="43"/>
      <c r="P31" s="43"/>
      <c r="Q31" s="43"/>
      <c r="R31" s="43"/>
      <c r="S31" s="43"/>
      <c r="T31" s="43"/>
      <c r="U31" s="43"/>
      <c r="V31" s="40"/>
      <c r="W31" s="40"/>
      <c r="X31" s="40"/>
      <c r="Y31" s="40"/>
      <c r="Z31" s="40"/>
      <c r="AA31" s="40"/>
    </row>
    <row r="32" spans="1:27" s="36" customFormat="1" ht="35.4" customHeight="1" x14ac:dyDescent="0.25">
      <c r="A32" s="7" t="s">
        <v>73</v>
      </c>
      <c r="B32" s="65" t="s">
        <v>41</v>
      </c>
      <c r="C32" s="166" t="s">
        <v>16</v>
      </c>
      <c r="D32" s="323" t="s">
        <v>74</v>
      </c>
      <c r="E32" s="324"/>
      <c r="F32" s="324"/>
      <c r="G32" s="324"/>
      <c r="H32" s="324"/>
      <c r="I32" s="325"/>
      <c r="J32" s="329" t="s">
        <v>75</v>
      </c>
      <c r="K32" s="330"/>
      <c r="L32" s="330"/>
      <c r="M32" s="330"/>
      <c r="N32" s="330"/>
      <c r="O32" s="331"/>
      <c r="P32" s="332" t="s">
        <v>76</v>
      </c>
      <c r="Q32" s="333"/>
      <c r="R32" s="333"/>
      <c r="S32" s="333"/>
      <c r="T32" s="333"/>
      <c r="U32" s="334"/>
      <c r="V32" s="40"/>
      <c r="W32" s="40"/>
      <c r="X32" s="40"/>
      <c r="Y32" s="40"/>
      <c r="Z32" s="40"/>
      <c r="AA32" s="40"/>
    </row>
    <row r="33" spans="1:27" s="36" customFormat="1" x14ac:dyDescent="0.25">
      <c r="A33" s="85" t="s">
        <v>70</v>
      </c>
      <c r="B33" s="65"/>
      <c r="C33" s="166" t="s">
        <v>16</v>
      </c>
      <c r="D33" s="73" t="s">
        <v>62</v>
      </c>
      <c r="E33" s="73" t="s">
        <v>7</v>
      </c>
      <c r="F33" s="73" t="s">
        <v>8</v>
      </c>
      <c r="G33" s="172">
        <v>2000</v>
      </c>
      <c r="H33" s="172">
        <v>2005</v>
      </c>
      <c r="I33" s="73" t="s">
        <v>9</v>
      </c>
      <c r="J33" s="174" t="s">
        <v>62</v>
      </c>
      <c r="K33" s="174" t="s">
        <v>7</v>
      </c>
      <c r="L33" s="174" t="s">
        <v>8</v>
      </c>
      <c r="M33" s="175">
        <v>2000</v>
      </c>
      <c r="N33" s="175">
        <v>2005</v>
      </c>
      <c r="O33" s="174" t="s">
        <v>9</v>
      </c>
      <c r="P33" s="178" t="s">
        <v>62</v>
      </c>
      <c r="Q33" s="178" t="s">
        <v>7</v>
      </c>
      <c r="R33" s="178" t="s">
        <v>8</v>
      </c>
      <c r="S33" s="179">
        <v>2000</v>
      </c>
      <c r="T33" s="179">
        <v>2005</v>
      </c>
      <c r="U33" s="178" t="s">
        <v>9</v>
      </c>
      <c r="V33" s="40"/>
      <c r="W33" s="40"/>
      <c r="X33" s="40"/>
      <c r="Y33" s="40"/>
      <c r="Z33" s="40"/>
      <c r="AA33" s="40"/>
    </row>
    <row r="34" spans="1:27" s="36" customFormat="1" x14ac:dyDescent="0.25">
      <c r="A34" s="157" t="s">
        <v>14</v>
      </c>
      <c r="B34" s="65">
        <v>7</v>
      </c>
      <c r="C34" s="166" t="s">
        <v>16</v>
      </c>
      <c r="D34" s="122">
        <f t="shared" ref="D34:I45" si="35">(D8/D$27)*100</f>
        <v>71.331688950051557</v>
      </c>
      <c r="E34" s="122">
        <f t="shared" si="35"/>
        <v>43.935005778041678</v>
      </c>
      <c r="F34" s="122">
        <f t="shared" si="35"/>
        <v>42.697539556344402</v>
      </c>
      <c r="G34" s="122">
        <f t="shared" si="35"/>
        <v>40.384545463050983</v>
      </c>
      <c r="H34" s="122">
        <f t="shared" si="35"/>
        <v>35.180123600056881</v>
      </c>
      <c r="I34" s="122">
        <f t="shared" si="35"/>
        <v>31.627996137602633</v>
      </c>
      <c r="J34" s="122">
        <f t="shared" ref="J34:J45" si="36">(P8/P$27)*100</f>
        <v>78.177184628797534</v>
      </c>
      <c r="K34" s="122">
        <f t="shared" ref="K34:K45" si="37">(Q8/Q$27)*100</f>
        <v>63.991400931565742</v>
      </c>
      <c r="L34" s="122">
        <f t="shared" ref="L34:L45" si="38">(R8/R$27)*100</f>
        <v>71.713455894820925</v>
      </c>
      <c r="M34" s="122">
        <f t="shared" ref="M34:M45" si="39">(S8/S$27)*100</f>
        <v>74.952748510630286</v>
      </c>
      <c r="N34" s="122">
        <f t="shared" ref="N34:N45" si="40">(T8/T$27)*100</f>
        <v>67.941338279430681</v>
      </c>
      <c r="O34" s="122">
        <f t="shared" ref="O34:O45" si="41">(U8/U$27)*100</f>
        <v>58.877002141209822</v>
      </c>
      <c r="P34" s="122">
        <f>+V8/V$27</f>
        <v>1.0135470964944182</v>
      </c>
      <c r="Q34" s="122">
        <f t="shared" ref="Q34:U37" si="42">+W8/W$27</f>
        <v>0.48728566967304721</v>
      </c>
      <c r="R34" s="122">
        <f t="shared" si="42"/>
        <v>0.43221792432520761</v>
      </c>
      <c r="S34" s="122">
        <f t="shared" si="42"/>
        <v>0.48732110774606419</v>
      </c>
      <c r="T34" s="122">
        <f t="shared" si="42"/>
        <v>0.51780145182550386</v>
      </c>
      <c r="U34" s="122">
        <f t="shared" si="42"/>
        <v>0.63985701324964506</v>
      </c>
      <c r="V34" s="40"/>
      <c r="W34" s="40"/>
      <c r="X34" s="40"/>
      <c r="Y34" s="40"/>
      <c r="Z34" s="40"/>
      <c r="AA34" s="40"/>
    </row>
    <row r="35" spans="1:27" s="36" customFormat="1" x14ac:dyDescent="0.25">
      <c r="A35" s="158" t="s">
        <v>17</v>
      </c>
      <c r="B35" s="65">
        <v>8</v>
      </c>
      <c r="C35" s="166" t="s">
        <v>16</v>
      </c>
      <c r="D35" s="122">
        <f t="shared" si="35"/>
        <v>12.436781280868562</v>
      </c>
      <c r="E35" s="122">
        <f t="shared" si="35"/>
        <v>38.130663987618568</v>
      </c>
      <c r="F35" s="122">
        <f t="shared" si="35"/>
        <v>43.538507969837489</v>
      </c>
      <c r="G35" s="122">
        <f t="shared" si="35"/>
        <v>45.518764119613898</v>
      </c>
      <c r="H35" s="122">
        <f t="shared" si="35"/>
        <v>46.546683150681687</v>
      </c>
      <c r="I35" s="122">
        <f t="shared" si="35"/>
        <v>48.035671738046872</v>
      </c>
      <c r="J35" s="122">
        <f t="shared" si="36"/>
        <v>5.301996144868153</v>
      </c>
      <c r="K35" s="122">
        <f t="shared" si="37"/>
        <v>18.201361519168756</v>
      </c>
      <c r="L35" s="122">
        <f t="shared" si="38"/>
        <v>11.869274523556038</v>
      </c>
      <c r="M35" s="122">
        <f t="shared" si="39"/>
        <v>6.161875397627691</v>
      </c>
      <c r="N35" s="122">
        <f t="shared" si="40"/>
        <v>6.0569938468562068</v>
      </c>
      <c r="O35" s="122">
        <f t="shared" si="41"/>
        <v>6.0096532942480172</v>
      </c>
      <c r="P35" s="122">
        <f t="shared" ref="P35:P37" si="43">+V9/V$27</f>
        <v>1.4851335497493783</v>
      </c>
      <c r="Q35" s="122">
        <f t="shared" si="42"/>
        <v>3.1888422650626969</v>
      </c>
      <c r="R35" s="122">
        <f t="shared" si="42"/>
        <v>4.6318009483983404</v>
      </c>
      <c r="S35" s="122">
        <f t="shared" si="42"/>
        <v>7.9805582282289445</v>
      </c>
      <c r="T35" s="122">
        <f t="shared" si="42"/>
        <v>7.6847829678481601</v>
      </c>
      <c r="U35" s="122">
        <f t="shared" si="42"/>
        <v>5.9226214337894278</v>
      </c>
      <c r="V35" s="40"/>
      <c r="W35" s="40"/>
      <c r="X35" s="40"/>
      <c r="Y35" s="40"/>
      <c r="Z35" s="40"/>
      <c r="AA35" s="40"/>
    </row>
    <row r="36" spans="1:27" s="36" customFormat="1" x14ac:dyDescent="0.25">
      <c r="A36" s="159" t="s">
        <v>19</v>
      </c>
      <c r="B36" s="65">
        <v>9</v>
      </c>
      <c r="C36" s="166" t="s">
        <v>16</v>
      </c>
      <c r="D36" s="122">
        <f t="shared" si="35"/>
        <v>0.53262063839000784</v>
      </c>
      <c r="E36" s="122">
        <f t="shared" si="35"/>
        <v>14.85464018437127</v>
      </c>
      <c r="F36" s="122">
        <f t="shared" si="35"/>
        <v>29.419672202211395</v>
      </c>
      <c r="G36" s="122">
        <f t="shared" si="35"/>
        <v>41.62378216993153</v>
      </c>
      <c r="H36" s="122">
        <f t="shared" si="35"/>
        <v>41.868338278171066</v>
      </c>
      <c r="I36" s="122">
        <f t="shared" si="35"/>
        <v>44.636783002151908</v>
      </c>
      <c r="J36" s="122">
        <f t="shared" si="36"/>
        <v>0.25268204248433179</v>
      </c>
      <c r="K36" s="122">
        <f t="shared" si="37"/>
        <v>0.39412396990326043</v>
      </c>
      <c r="L36" s="122">
        <f t="shared" si="38"/>
        <v>0.30463709530035044</v>
      </c>
      <c r="M36" s="122">
        <f t="shared" si="39"/>
        <v>0.27132197045574952</v>
      </c>
      <c r="N36" s="122">
        <f t="shared" si="40"/>
        <v>0.2810188691283379</v>
      </c>
      <c r="O36" s="122">
        <f t="shared" si="41"/>
        <v>0.19978691816140634</v>
      </c>
      <c r="P36" s="122">
        <f t="shared" si="43"/>
        <v>20.555378319300186</v>
      </c>
      <c r="Q36" s="122">
        <f t="shared" si="42"/>
        <v>137.71530349130532</v>
      </c>
      <c r="R36" s="122">
        <f t="shared" si="42"/>
        <v>164.78668858081079</v>
      </c>
      <c r="S36" s="122">
        <f t="shared" si="42"/>
        <v>165.12077540562524</v>
      </c>
      <c r="T36" s="122">
        <f t="shared" si="42"/>
        <v>148.98764060946493</v>
      </c>
      <c r="U36" s="122">
        <f t="shared" si="42"/>
        <v>148.86670368674982</v>
      </c>
      <c r="V36" s="40"/>
      <c r="W36" s="40"/>
      <c r="X36" s="40"/>
      <c r="Y36" s="40"/>
      <c r="Z36" s="40"/>
      <c r="AA36" s="40"/>
    </row>
    <row r="37" spans="1:27" s="36" customFormat="1" x14ac:dyDescent="0.25">
      <c r="A37" s="160" t="s">
        <v>20</v>
      </c>
      <c r="B37" s="65">
        <v>10</v>
      </c>
      <c r="C37" s="166" t="s">
        <v>16</v>
      </c>
      <c r="D37" s="122">
        <f t="shared" si="35"/>
        <v>7.5010757971441606</v>
      </c>
      <c r="E37" s="122">
        <f t="shared" si="35"/>
        <v>17.341089062747102</v>
      </c>
      <c r="F37" s="122">
        <f t="shared" si="35"/>
        <v>11.062203472833327</v>
      </c>
      <c r="G37" s="122">
        <f t="shared" si="35"/>
        <v>3.1452978954134889</v>
      </c>
      <c r="H37" s="122">
        <f t="shared" si="35"/>
        <v>2.996579279064151</v>
      </c>
      <c r="I37" s="122">
        <f t="shared" si="35"/>
        <v>1.9726216383299207</v>
      </c>
      <c r="J37" s="122">
        <f t="shared" si="36"/>
        <v>3.4068808262356649</v>
      </c>
      <c r="K37" s="122">
        <f t="shared" si="37"/>
        <v>16.804012898602654</v>
      </c>
      <c r="L37" s="122">
        <f t="shared" si="38"/>
        <v>10.763869592752288</v>
      </c>
      <c r="M37" s="122">
        <f t="shared" si="39"/>
        <v>4.8249882603701968</v>
      </c>
      <c r="N37" s="122">
        <f t="shared" si="40"/>
        <v>4.488137754966484</v>
      </c>
      <c r="O37" s="122">
        <f t="shared" si="41"/>
        <v>3.9983531374960233</v>
      </c>
      <c r="P37" s="122">
        <f t="shared" si="43"/>
        <v>0.31428729715866238</v>
      </c>
      <c r="Q37" s="122">
        <f t="shared" si="42"/>
        <v>0.11204934239833424</v>
      </c>
      <c r="R37" s="122">
        <f t="shared" si="42"/>
        <v>0.31465914368748749</v>
      </c>
      <c r="S37" s="122">
        <f t="shared" si="42"/>
        <v>0.55681897958711912</v>
      </c>
      <c r="T37" s="122">
        <f t="shared" si="42"/>
        <v>0.66766651173934999</v>
      </c>
      <c r="U37" s="122">
        <f t="shared" si="42"/>
        <v>0.88655148907452808</v>
      </c>
      <c r="V37" s="40"/>
      <c r="W37" s="40"/>
      <c r="X37" s="40"/>
      <c r="Y37" s="40"/>
      <c r="Z37" s="40"/>
      <c r="AA37" s="40"/>
    </row>
    <row r="38" spans="1:27" s="36" customFormat="1" x14ac:dyDescent="0.25">
      <c r="A38" s="160" t="s">
        <v>21</v>
      </c>
      <c r="B38" s="65">
        <v>11</v>
      </c>
      <c r="C38" s="166"/>
      <c r="D38" s="122">
        <f t="shared" si="35"/>
        <v>1.3427960121851348</v>
      </c>
      <c r="E38" s="122">
        <f t="shared" si="35"/>
        <v>1.6567223398745567</v>
      </c>
      <c r="F38" s="122">
        <f t="shared" si="35"/>
        <v>1.8350971745387887</v>
      </c>
      <c r="G38" s="122">
        <f t="shared" si="35"/>
        <v>0.18994375894657392</v>
      </c>
      <c r="H38" s="122">
        <f t="shared" si="35"/>
        <v>0.15081866750826059</v>
      </c>
      <c r="I38" s="122">
        <f t="shared" si="35"/>
        <v>0.21562639084839022</v>
      </c>
      <c r="J38" s="122">
        <f t="shared" si="36"/>
        <v>0.1263410212421659</v>
      </c>
      <c r="K38" s="122">
        <f t="shared" si="37"/>
        <v>0.10748835542816196</v>
      </c>
      <c r="L38" s="122">
        <f t="shared" si="38"/>
        <v>0.15773731479774489</v>
      </c>
      <c r="M38" s="122">
        <f t="shared" si="39"/>
        <v>0.16052016787323511</v>
      </c>
      <c r="N38" s="122">
        <f t="shared" si="40"/>
        <v>0.24756449310110853</v>
      </c>
      <c r="O38" s="122">
        <f t="shared" si="41"/>
        <v>0.23951903773320429</v>
      </c>
      <c r="P38" s="122">
        <f t="shared" ref="P38:P39" si="44">+V12/V$27</f>
        <v>0.26894036176942487</v>
      </c>
      <c r="Q38" s="122">
        <f t="shared" ref="Q38:Q39" si="45">+W12/W$27</f>
        <v>0.62217826582217306</v>
      </c>
      <c r="R38" s="122">
        <f t="shared" ref="R38:R39" si="46">+X12/X$27</f>
        <v>0.7082664876213135</v>
      </c>
      <c r="S38" s="122">
        <f t="shared" ref="S38:S39" si="47">+Y12/Y$27</f>
        <v>0.68649531119028395</v>
      </c>
      <c r="T38" s="122">
        <f t="shared" ref="T38:T39" si="48">+Z12/Z$27</f>
        <v>0.60920960683430592</v>
      </c>
      <c r="U38" s="144">
        <f t="shared" ref="U38:U39" si="49">+AA12/AA$27</f>
        <v>0.59867995492610637</v>
      </c>
      <c r="V38" s="40"/>
      <c r="W38" s="40"/>
      <c r="X38" s="40"/>
      <c r="Y38" s="40"/>
      <c r="Z38" s="40"/>
      <c r="AA38" s="40"/>
    </row>
    <row r="39" spans="1:27" s="36" customFormat="1" x14ac:dyDescent="0.25">
      <c r="A39" s="160" t="s">
        <v>22</v>
      </c>
      <c r="B39" s="65">
        <v>12</v>
      </c>
      <c r="C39" s="166"/>
      <c r="D39" s="122">
        <f t="shared" si="35"/>
        <v>3.0602888331492584</v>
      </c>
      <c r="E39" s="122">
        <f t="shared" si="35"/>
        <v>4.278212400625633</v>
      </c>
      <c r="F39" s="122">
        <f t="shared" si="35"/>
        <v>1.2215351202539841</v>
      </c>
      <c r="G39" s="122">
        <f t="shared" si="35"/>
        <v>0.55974029532229874</v>
      </c>
      <c r="H39" s="122">
        <f t="shared" si="35"/>
        <v>1.5309469259382189</v>
      </c>
      <c r="I39" s="122">
        <f t="shared" si="35"/>
        <v>1.2106407067166536</v>
      </c>
      <c r="J39" s="122">
        <f t="shared" si="36"/>
        <v>1.5160922549059908</v>
      </c>
      <c r="K39" s="122">
        <f t="shared" si="37"/>
        <v>0.89573629523468301</v>
      </c>
      <c r="L39" s="122">
        <f t="shared" si="38"/>
        <v>0.64303052070565536</v>
      </c>
      <c r="M39" s="122">
        <f t="shared" si="39"/>
        <v>0.90504499892850931</v>
      </c>
      <c r="N39" s="122">
        <f t="shared" si="40"/>
        <v>1.0402727296602758</v>
      </c>
      <c r="O39" s="122">
        <f t="shared" si="41"/>
        <v>1.5719942008573833</v>
      </c>
      <c r="P39" s="122">
        <f t="shared" si="44"/>
        <v>1.0391714659513673</v>
      </c>
      <c r="Q39" s="122">
        <f t="shared" si="45"/>
        <v>2.0258342346082525</v>
      </c>
      <c r="R39" s="122">
        <f t="shared" si="46"/>
        <v>1.9863890713086843</v>
      </c>
      <c r="S39" s="122">
        <f t="shared" si="47"/>
        <v>1.7429739728252533</v>
      </c>
      <c r="T39" s="122">
        <f t="shared" si="48"/>
        <v>1.4716784188298231</v>
      </c>
      <c r="U39" s="144">
        <f t="shared" si="49"/>
        <v>1.3760485171934849</v>
      </c>
      <c r="V39" s="40"/>
      <c r="W39" s="40"/>
      <c r="X39" s="40"/>
      <c r="Y39" s="40"/>
      <c r="Z39" s="40"/>
      <c r="AA39" s="40"/>
    </row>
    <row r="40" spans="1:27" s="36" customFormat="1" x14ac:dyDescent="0.25">
      <c r="A40" s="161" t="s">
        <v>61</v>
      </c>
      <c r="B40" s="65">
        <v>13</v>
      </c>
      <c r="C40" s="166" t="s">
        <v>16</v>
      </c>
      <c r="D40" s="122">
        <f t="shared" si="35"/>
        <v>4.4030848453343925</v>
      </c>
      <c r="E40" s="122">
        <f t="shared" si="35"/>
        <v>5.9349347405001902</v>
      </c>
      <c r="F40" s="122">
        <f t="shared" si="35"/>
        <v>3.0566322947927729</v>
      </c>
      <c r="G40" s="122">
        <f t="shared" si="35"/>
        <v>0.74968405426887263</v>
      </c>
      <c r="H40" s="122">
        <f t="shared" si="35"/>
        <v>1.6817655934464795</v>
      </c>
      <c r="I40" s="122">
        <f t="shared" si="35"/>
        <v>1.4262670975650438</v>
      </c>
      <c r="J40" s="122">
        <f t="shared" si="36"/>
        <v>1.6424332761481566</v>
      </c>
      <c r="K40" s="122">
        <f t="shared" si="37"/>
        <v>1.0032246506628448</v>
      </c>
      <c r="L40" s="122">
        <f t="shared" si="38"/>
        <v>0.80076783550340025</v>
      </c>
      <c r="M40" s="122">
        <f t="shared" si="39"/>
        <v>1.0655651668017445</v>
      </c>
      <c r="N40" s="122">
        <f t="shared" si="40"/>
        <v>1.2878372227613846</v>
      </c>
      <c r="O40" s="122">
        <f t="shared" si="41"/>
        <v>1.8115132385905877</v>
      </c>
      <c r="P40" s="122">
        <f t="shared" ref="P40:P45" si="50">+V14/V$27</f>
        <v>0.97992291947583321</v>
      </c>
      <c r="Q40" s="122">
        <f t="shared" ref="Q40:U40" si="51">+W14/W$27</f>
        <v>1.8754425236668868</v>
      </c>
      <c r="R40" s="122">
        <f t="shared" si="51"/>
        <v>1.7346211862930954</v>
      </c>
      <c r="S40" s="122">
        <f t="shared" si="51"/>
        <v>1.5838226253491126</v>
      </c>
      <c r="T40" s="122">
        <f t="shared" si="51"/>
        <v>1.3058836658257422</v>
      </c>
      <c r="U40" s="122">
        <f t="shared" si="51"/>
        <v>1.2732645209014168</v>
      </c>
      <c r="V40" s="40"/>
      <c r="W40" s="40"/>
      <c r="X40" s="40"/>
      <c r="Y40" s="40"/>
      <c r="Z40" s="40"/>
      <c r="AA40" s="40"/>
    </row>
    <row r="41" spans="1:27" s="36" customFormat="1" x14ac:dyDescent="0.25">
      <c r="A41" s="162" t="s">
        <v>23</v>
      </c>
      <c r="B41" s="65">
        <v>14</v>
      </c>
      <c r="C41" s="166" t="s">
        <v>16</v>
      </c>
      <c r="D41" s="122">
        <f t="shared" si="35"/>
        <v>16.231529769079874</v>
      </c>
      <c r="E41" s="122">
        <f t="shared" si="35"/>
        <v>17.934330234339754</v>
      </c>
      <c r="F41" s="122">
        <f t="shared" si="35"/>
        <v>13.763952473818112</v>
      </c>
      <c r="G41" s="122">
        <f t="shared" si="35"/>
        <v>14.096690417335131</v>
      </c>
      <c r="H41" s="122">
        <f t="shared" si="35"/>
        <v>18.273193249261407</v>
      </c>
      <c r="I41" s="122">
        <f t="shared" si="35"/>
        <v>20.336332124350498</v>
      </c>
      <c r="J41" s="122">
        <f t="shared" si="36"/>
        <v>16.520819226334314</v>
      </c>
      <c r="K41" s="122">
        <f t="shared" si="37"/>
        <v>17.807237549265498</v>
      </c>
      <c r="L41" s="122">
        <f t="shared" si="38"/>
        <v>16.417269581623035</v>
      </c>
      <c r="M41" s="122">
        <f t="shared" si="39"/>
        <v>18.885376091742025</v>
      </c>
      <c r="N41" s="122">
        <f t="shared" si="40"/>
        <v>26.001667873713114</v>
      </c>
      <c r="O41" s="122">
        <f t="shared" si="41"/>
        <v>35.113344564542167</v>
      </c>
      <c r="P41" s="122">
        <f t="shared" si="50"/>
        <v>0.78020157326354478</v>
      </c>
      <c r="Q41" s="122">
        <f t="shared" ref="Q41:U41" si="52">+W15/W$27</f>
        <v>0.60518294428991393</v>
      </c>
      <c r="R41" s="122">
        <f t="shared" si="52"/>
        <v>0.8544686363467292</v>
      </c>
      <c r="S41" s="122">
        <f t="shared" si="52"/>
        <v>0.75713282551893191</v>
      </c>
      <c r="T41" s="122">
        <f t="shared" si="52"/>
        <v>0.70277004298385959</v>
      </c>
      <c r="U41" s="122">
        <f t="shared" si="52"/>
        <v>0.76136967817279633</v>
      </c>
      <c r="V41" s="40"/>
      <c r="W41" s="40"/>
      <c r="X41" s="40"/>
      <c r="Y41" s="40"/>
      <c r="Z41" s="40"/>
      <c r="AA41" s="40"/>
    </row>
    <row r="42" spans="1:27" s="36" customFormat="1" x14ac:dyDescent="0.25">
      <c r="A42" s="159" t="s">
        <v>24</v>
      </c>
      <c r="B42" s="65">
        <v>15</v>
      </c>
      <c r="C42" s="166" t="s">
        <v>16</v>
      </c>
      <c r="D42" s="122">
        <f t="shared" si="35"/>
        <v>13.73149613271217</v>
      </c>
      <c r="E42" s="122">
        <f t="shared" si="35"/>
        <v>14.494735214470273</v>
      </c>
      <c r="F42" s="122">
        <f t="shared" si="35"/>
        <v>12.575654507799463</v>
      </c>
      <c r="G42" s="122">
        <f t="shared" si="35"/>
        <v>11.795771228439914</v>
      </c>
      <c r="H42" s="122">
        <f t="shared" si="35"/>
        <v>16.248749062148253</v>
      </c>
      <c r="I42" s="122">
        <f t="shared" si="35"/>
        <v>18.491183003996955</v>
      </c>
      <c r="J42" s="122">
        <f t="shared" si="36"/>
        <v>14.971627354561798</v>
      </c>
      <c r="K42" s="122">
        <f t="shared" si="37"/>
        <v>12.919732840908047</v>
      </c>
      <c r="L42" s="122">
        <f t="shared" si="38"/>
        <v>11.967503588244599</v>
      </c>
      <c r="M42" s="122">
        <f t="shared" si="39"/>
        <v>11.626221648406061</v>
      </c>
      <c r="N42" s="122">
        <f t="shared" si="40"/>
        <v>16.911482423591</v>
      </c>
      <c r="O42" s="122">
        <f t="shared" si="41"/>
        <v>24.099213139397026</v>
      </c>
      <c r="P42" s="122">
        <f t="shared" si="50"/>
        <v>0.81892889387920897</v>
      </c>
      <c r="Q42" s="122">
        <f t="shared" ref="Q42:U42" si="53">+W16/W$27</f>
        <v>0.7330974275219706</v>
      </c>
      <c r="R42" s="122">
        <f t="shared" si="53"/>
        <v>1.0525545774361553</v>
      </c>
      <c r="S42" s="122">
        <f t="shared" si="53"/>
        <v>1.0674957104790612</v>
      </c>
      <c r="T42" s="122">
        <f t="shared" si="53"/>
        <v>0.96081163408133552</v>
      </c>
      <c r="U42" s="122">
        <f t="shared" si="53"/>
        <v>1.013208288971706</v>
      </c>
      <c r="V42" s="40"/>
      <c r="W42" s="40"/>
      <c r="X42" s="40"/>
      <c r="Y42" s="40"/>
      <c r="Z42" s="40"/>
      <c r="AA42" s="40"/>
    </row>
    <row r="43" spans="1:27" s="36" customFormat="1" x14ac:dyDescent="0.25">
      <c r="A43" s="163" t="s">
        <v>25</v>
      </c>
      <c r="B43" s="65">
        <v>16</v>
      </c>
      <c r="C43" s="166"/>
      <c r="D43" s="122">
        <f t="shared" si="35"/>
        <v>10.662633713976502</v>
      </c>
      <c r="E43" s="122">
        <f t="shared" si="35"/>
        <v>10.647813427846815</v>
      </c>
      <c r="F43" s="122">
        <f t="shared" si="35"/>
        <v>10.213697553797676</v>
      </c>
      <c r="G43" s="122">
        <f t="shared" si="35"/>
        <v>9.8990726875328221</v>
      </c>
      <c r="H43" s="122">
        <f t="shared" si="35"/>
        <v>13.767184103009713</v>
      </c>
      <c r="I43" s="122">
        <f t="shared" si="35"/>
        <v>14.259905018592484</v>
      </c>
      <c r="J43" s="122">
        <f t="shared" si="36"/>
        <v>12.950171014687143</v>
      </c>
      <c r="K43" s="122">
        <f t="shared" si="37"/>
        <v>12.182013615191687</v>
      </c>
      <c r="L43" s="122">
        <f t="shared" si="38"/>
        <v>10.808135741075171</v>
      </c>
      <c r="M43" s="122">
        <f t="shared" si="39"/>
        <v>9.6136911968425007</v>
      </c>
      <c r="N43" s="122">
        <f t="shared" si="40"/>
        <v>13.276486233314611</v>
      </c>
      <c r="O43" s="122">
        <f t="shared" si="41"/>
        <v>18.314609705485804</v>
      </c>
      <c r="P43" s="122">
        <f t="shared" si="50"/>
        <v>0.86958517124883328</v>
      </c>
      <c r="Q43" s="122">
        <f t="shared" ref="Q43:Q44" si="54">+W17/W$27</f>
        <v>0.66612038995004208</v>
      </c>
      <c r="R43" s="122">
        <f t="shared" ref="R43:R44" si="55">+X17/X$27</f>
        <v>0.95612187092546164</v>
      </c>
      <c r="S43" s="122">
        <f t="shared" ref="S43:S44" si="56">+Y17/Y$27</f>
        <v>1.0816163578661127</v>
      </c>
      <c r="T43" s="122">
        <f t="shared" ref="T43:T44" si="57">+Z17/Z$27</f>
        <v>1.0369599200475046</v>
      </c>
      <c r="U43" s="144">
        <f t="shared" ref="U43:U44" si="58">+AA17/AA$27</f>
        <v>1.1009041291507764</v>
      </c>
      <c r="V43" s="40"/>
      <c r="W43" s="40"/>
      <c r="X43" s="40"/>
      <c r="Y43" s="40"/>
      <c r="Z43" s="40"/>
      <c r="AA43" s="40"/>
    </row>
    <row r="44" spans="1:27" s="36" customFormat="1" x14ac:dyDescent="0.25">
      <c r="A44" s="163" t="s">
        <v>26</v>
      </c>
      <c r="B44" s="65">
        <v>17</v>
      </c>
      <c r="C44" s="166"/>
      <c r="D44" s="122">
        <f t="shared" si="35"/>
        <v>2.0494657982755609</v>
      </c>
      <c r="E44" s="122">
        <f t="shared" si="35"/>
        <v>1.485194996427039</v>
      </c>
      <c r="F44" s="122">
        <f t="shared" si="35"/>
        <v>0.79417434912716423</v>
      </c>
      <c r="G44" s="122">
        <f t="shared" si="35"/>
        <v>1.0365779235237342</v>
      </c>
      <c r="H44" s="122">
        <f t="shared" si="35"/>
        <v>1.3125445888158709</v>
      </c>
      <c r="I44" s="122">
        <f t="shared" si="35"/>
        <v>2.4280638146617699</v>
      </c>
      <c r="J44" s="122">
        <f t="shared" si="36"/>
        <v>1.7687742973903224</v>
      </c>
      <c r="K44" s="122">
        <f t="shared" si="37"/>
        <v>0.60910068075958435</v>
      </c>
      <c r="L44" s="122">
        <f t="shared" si="38"/>
        <v>0.5616044215387993</v>
      </c>
      <c r="M44" s="122">
        <f t="shared" si="39"/>
        <v>0.75405542661932767</v>
      </c>
      <c r="N44" s="122">
        <f t="shared" si="40"/>
        <v>1.8830521568214194</v>
      </c>
      <c r="O44" s="122">
        <f t="shared" si="41"/>
        <v>3.1081091804750343</v>
      </c>
      <c r="P44" s="122">
        <f t="shared" si="50"/>
        <v>0.43746893563722478</v>
      </c>
      <c r="Q44" s="122">
        <f t="shared" si="54"/>
        <v>0.97382597752697464</v>
      </c>
      <c r="R44" s="122">
        <f t="shared" si="55"/>
        <v>0.94781251648814613</v>
      </c>
      <c r="S44" s="122">
        <f t="shared" si="56"/>
        <v>0.8275663175965422</v>
      </c>
      <c r="T44" s="122">
        <f t="shared" si="57"/>
        <v>0.69703039507489695</v>
      </c>
      <c r="U44" s="144">
        <f t="shared" si="58"/>
        <v>0.65012884146671857</v>
      </c>
      <c r="V44" s="40"/>
      <c r="W44" s="40"/>
      <c r="X44" s="40"/>
      <c r="Y44" s="40"/>
      <c r="Z44" s="40"/>
      <c r="AA44" s="40"/>
    </row>
    <row r="45" spans="1:27" s="36" customFormat="1" x14ac:dyDescent="0.25">
      <c r="A45" s="160" t="s">
        <v>27</v>
      </c>
      <c r="B45" s="65">
        <v>18</v>
      </c>
      <c r="C45" s="166" t="s">
        <v>16</v>
      </c>
      <c r="D45" s="122">
        <f t="shared" si="35"/>
        <v>12.712099512252061</v>
      </c>
      <c r="E45" s="122">
        <f t="shared" si="35"/>
        <v>12.133008424273854</v>
      </c>
      <c r="F45" s="122">
        <f t="shared" si="35"/>
        <v>11.007871902924842</v>
      </c>
      <c r="G45" s="122">
        <f t="shared" si="35"/>
        <v>10.935650611056555</v>
      </c>
      <c r="H45" s="122">
        <f t="shared" si="35"/>
        <v>15.079728691825583</v>
      </c>
      <c r="I45" s="122">
        <f t="shared" si="35"/>
        <v>16.687968833254256</v>
      </c>
      <c r="J45" s="122">
        <f t="shared" si="36"/>
        <v>14.718945312077466</v>
      </c>
      <c r="K45" s="122">
        <f t="shared" si="37"/>
        <v>12.791114295951273</v>
      </c>
      <c r="L45" s="122">
        <f t="shared" si="38"/>
        <v>11.36974016261397</v>
      </c>
      <c r="M45" s="122">
        <f t="shared" si="39"/>
        <v>10.367746623461828</v>
      </c>
      <c r="N45" s="122">
        <f t="shared" si="40"/>
        <v>15.15953839013603</v>
      </c>
      <c r="O45" s="122">
        <f t="shared" si="41"/>
        <v>21.422718885960837</v>
      </c>
      <c r="P45" s="122">
        <f t="shared" si="50"/>
        <v>0.81765780316440118</v>
      </c>
      <c r="Q45" s="122">
        <f t="shared" ref="Q45:U45" si="59">+W19/W$27</f>
        <v>0.68077303697751512</v>
      </c>
      <c r="R45" s="122">
        <f t="shared" si="59"/>
        <v>0.95571143320873397</v>
      </c>
      <c r="S45" s="122">
        <f t="shared" si="59"/>
        <v>1.0631390726415086</v>
      </c>
      <c r="T45" s="122">
        <f t="shared" si="59"/>
        <v>0.99473534772256811</v>
      </c>
      <c r="U45" s="122">
        <f t="shared" si="59"/>
        <v>1.0355035225592262</v>
      </c>
      <c r="V45" s="40"/>
      <c r="W45" s="40"/>
      <c r="X45" s="40"/>
      <c r="Y45" s="40"/>
      <c r="Z45" s="40"/>
      <c r="AA45" s="40"/>
    </row>
    <row r="46" spans="1:27" s="36" customFormat="1" x14ac:dyDescent="0.25">
      <c r="A46" s="159" t="s">
        <v>63</v>
      </c>
      <c r="B46" s="65">
        <v>21</v>
      </c>
      <c r="C46" s="166" t="s">
        <v>16</v>
      </c>
      <c r="D46" s="122">
        <f t="shared" ref="D46:I47" si="60">(D22/D$27)*100</f>
        <v>1.019396620460109</v>
      </c>
      <c r="E46" s="122">
        <f t="shared" si="60"/>
        <v>2.3617267901964176</v>
      </c>
      <c r="F46" s="122">
        <f t="shared" si="60"/>
        <v>1.5677826048746231</v>
      </c>
      <c r="G46" s="122">
        <f t="shared" si="60"/>
        <v>0.86012061738335954</v>
      </c>
      <c r="H46" s="122">
        <f t="shared" si="60"/>
        <v>1.1690203703226698</v>
      </c>
      <c r="I46" s="122">
        <f t="shared" si="60"/>
        <v>1.8032141707427018</v>
      </c>
      <c r="J46" s="122">
        <f t="shared" ref="J46:O47" si="61">(P22/P$27)*100</f>
        <v>0.25268204248433174</v>
      </c>
      <c r="K46" s="122">
        <f t="shared" si="61"/>
        <v>0.12861854495677499</v>
      </c>
      <c r="L46" s="122">
        <f t="shared" si="61"/>
        <v>0.59776342563062912</v>
      </c>
      <c r="M46" s="122">
        <f t="shared" si="61"/>
        <v>1.2584750249442305</v>
      </c>
      <c r="N46" s="122">
        <f t="shared" si="61"/>
        <v>1.7519440334549687</v>
      </c>
      <c r="O46" s="122">
        <f t="shared" si="61"/>
        <v>2.6764942534361915</v>
      </c>
      <c r="P46" s="122">
        <f>+V22/V$27</f>
        <v>0.89297101627936049</v>
      </c>
      <c r="Q46" s="122">
        <f t="shared" ref="Q46:U46" si="62">+W22/W$27</f>
        <v>5.9367580671680624</v>
      </c>
      <c r="R46" s="122">
        <f t="shared" si="62"/>
        <v>2.8945565119551637</v>
      </c>
      <c r="S46" s="122">
        <f t="shared" si="62"/>
        <v>1.1033871793875791</v>
      </c>
      <c r="T46" s="122">
        <f t="shared" si="62"/>
        <v>0.6672703853543035</v>
      </c>
      <c r="U46" s="122">
        <f t="shared" si="62"/>
        <v>0.83475674885384921</v>
      </c>
      <c r="V46" s="40"/>
      <c r="W46" s="40"/>
      <c r="X46" s="40"/>
      <c r="Y46" s="40"/>
      <c r="Z46" s="40"/>
      <c r="AA46" s="40"/>
    </row>
    <row r="47" spans="1:27" s="36" customFormat="1" x14ac:dyDescent="0.25">
      <c r="A47" s="160" t="s">
        <v>32</v>
      </c>
      <c r="B47" s="65">
        <v>22</v>
      </c>
      <c r="C47" s="166" t="s">
        <v>16</v>
      </c>
      <c r="D47" s="122">
        <f t="shared" si="60"/>
        <v>2.5000336363677058</v>
      </c>
      <c r="E47" s="122">
        <f t="shared" si="60"/>
        <v>3.4395950198694791</v>
      </c>
      <c r="F47" s="122">
        <f t="shared" si="60"/>
        <v>1.188297966018647</v>
      </c>
      <c r="G47" s="122">
        <f t="shared" si="60"/>
        <v>2.3009191888952172</v>
      </c>
      <c r="H47" s="122">
        <f t="shared" si="60"/>
        <v>2.0244441871131533</v>
      </c>
      <c r="I47" s="122">
        <f t="shared" si="60"/>
        <v>1.8451491203535435</v>
      </c>
      <c r="J47" s="122">
        <f t="shared" si="61"/>
        <v>1.5491918717725168</v>
      </c>
      <c r="K47" s="122">
        <f t="shared" si="61"/>
        <v>4.8875047083574499</v>
      </c>
      <c r="L47" s="122">
        <f t="shared" si="61"/>
        <v>4.4497659933784348</v>
      </c>
      <c r="M47" s="122">
        <f t="shared" si="61"/>
        <v>7.2591544433359632</v>
      </c>
      <c r="N47" s="122">
        <f t="shared" si="61"/>
        <v>9.0901854501221173</v>
      </c>
      <c r="O47" s="122">
        <f t="shared" si="61"/>
        <v>11.014131425145143</v>
      </c>
      <c r="P47" s="122">
        <f>+V23/V$27</f>
        <v>0.40593481956894356</v>
      </c>
      <c r="Q47" s="122">
        <f t="shared" ref="Q47:U47" si="63">+W23/W$27</f>
        <v>0.26705110637780644</v>
      </c>
      <c r="R47" s="122">
        <f t="shared" si="63"/>
        <v>0.32172282133170899</v>
      </c>
      <c r="S47" s="122">
        <f t="shared" si="63"/>
        <v>0.26005734377356921</v>
      </c>
      <c r="T47" s="122">
        <f t="shared" si="63"/>
        <v>0.22270658813522409</v>
      </c>
      <c r="U47" s="122">
        <f t="shared" si="63"/>
        <v>0.21034008499789938</v>
      </c>
      <c r="V47" s="40"/>
      <c r="W47" s="40"/>
      <c r="X47" s="40"/>
      <c r="Y47" s="40"/>
      <c r="Z47" s="40"/>
      <c r="AA47" s="40"/>
    </row>
    <row r="48" spans="1:27" s="36" customFormat="1" x14ac:dyDescent="0.25">
      <c r="A48" s="159" t="s">
        <v>33</v>
      </c>
      <c r="B48" s="65">
        <v>23</v>
      </c>
      <c r="C48" s="166" t="s">
        <v>16</v>
      </c>
      <c r="D48" s="122">
        <f t="shared" ref="D48:I48" si="64">+(D24/D$27)*100</f>
        <v>1.413758561753867</v>
      </c>
      <c r="E48" s="122">
        <f t="shared" si="64"/>
        <v>2.4317304592077851</v>
      </c>
      <c r="F48" s="122">
        <f t="shared" si="64"/>
        <v>0.93108696268904489</v>
      </c>
      <c r="G48" s="122">
        <f t="shared" si="64"/>
        <v>1.511198048219758</v>
      </c>
      <c r="H48" s="122">
        <f t="shared" si="64"/>
        <v>1.0924414447666588</v>
      </c>
      <c r="I48" s="122">
        <f t="shared" si="64"/>
        <v>0.89801118995790352</v>
      </c>
      <c r="J48" s="122">
        <f t="shared" ref="J48:O48" si="65">+(P24/P$27)*100</f>
        <v>0.5707549001267167</v>
      </c>
      <c r="K48" s="122">
        <f t="shared" si="65"/>
        <v>1.8006596293948498</v>
      </c>
      <c r="L48" s="122">
        <f t="shared" si="65"/>
        <v>2.6657723388205561</v>
      </c>
      <c r="M48" s="122">
        <f t="shared" si="65"/>
        <v>3.1827265432805119</v>
      </c>
      <c r="N48" s="122">
        <f t="shared" si="65"/>
        <v>3.9261845202103873</v>
      </c>
      <c r="O48" s="122">
        <f t="shared" si="65"/>
        <v>4.4424486325238233</v>
      </c>
      <c r="P48" s="122">
        <f>+V24/V$27</f>
        <v>0.4960650245623478</v>
      </c>
      <c r="Q48" s="122">
        <f t="shared" ref="Q48:U48" si="66">+W24/W$27</f>
        <v>0.44531558051436132</v>
      </c>
      <c r="R48" s="122">
        <f t="shared" si="66"/>
        <v>0.40495202908353545</v>
      </c>
      <c r="S48" s="122">
        <f t="shared" si="66"/>
        <v>0.33791983378730817</v>
      </c>
      <c r="T48" s="122">
        <f t="shared" si="66"/>
        <v>0.27824505933004889</v>
      </c>
      <c r="U48" s="122">
        <f t="shared" si="66"/>
        <v>0.25371143763538623</v>
      </c>
      <c r="V48" s="40"/>
      <c r="W48" s="40"/>
      <c r="X48" s="40"/>
      <c r="Y48" s="40"/>
      <c r="Z48" s="40"/>
      <c r="AA48" s="40"/>
    </row>
    <row r="49" spans="1:27" s="36" customFormat="1" x14ac:dyDescent="0.25">
      <c r="A49" s="164" t="s">
        <v>35</v>
      </c>
      <c r="B49" s="65">
        <v>25</v>
      </c>
      <c r="C49" s="166" t="s">
        <v>16</v>
      </c>
      <c r="D49" s="122">
        <f t="shared" ref="D49:I50" si="67">(D26/D$27)*100</f>
        <v>1.0862750746138385</v>
      </c>
      <c r="E49" s="122">
        <f t="shared" si="67"/>
        <v>1.0078645606616945</v>
      </c>
      <c r="F49" s="122">
        <f t="shared" si="67"/>
        <v>0.25721100332960195</v>
      </c>
      <c r="G49" s="122">
        <f t="shared" si="67"/>
        <v>0.78972114067545951</v>
      </c>
      <c r="H49" s="122">
        <f t="shared" si="67"/>
        <v>0.93200274234649438</v>
      </c>
      <c r="I49" s="122">
        <f t="shared" si="67"/>
        <v>0.94713793039563998</v>
      </c>
      <c r="J49" s="122">
        <f t="shared" ref="J49:O50" si="68">(P26/P$27)*100</f>
        <v>0.97843697164580012</v>
      </c>
      <c r="K49" s="122">
        <f t="shared" si="68"/>
        <v>3.0868450789625999</v>
      </c>
      <c r="L49" s="122">
        <f t="shared" si="68"/>
        <v>1.7839936545578785</v>
      </c>
      <c r="M49" s="122">
        <f t="shared" si="68"/>
        <v>4.0764279000554522</v>
      </c>
      <c r="N49" s="122">
        <f t="shared" si="68"/>
        <v>5.1640009299117313</v>
      </c>
      <c r="O49" s="122">
        <f t="shared" si="68"/>
        <v>6.5716827926213206</v>
      </c>
      <c r="P49" s="122">
        <f>+V26/V$27</f>
        <v>0.35335886665612448</v>
      </c>
      <c r="Q49" s="122">
        <f t="shared" ref="Q49:U49" si="69">+W26/W$27</f>
        <v>0.16306349646481605</v>
      </c>
      <c r="R49" s="122">
        <f t="shared" si="69"/>
        <v>0.19735571989055867</v>
      </c>
      <c r="S49" s="122">
        <f t="shared" si="69"/>
        <v>0.19926514536641229</v>
      </c>
      <c r="T49" s="122">
        <f t="shared" si="69"/>
        <v>0.1804807464204746</v>
      </c>
      <c r="U49" s="122">
        <f t="shared" si="69"/>
        <v>0.18102110958547579</v>
      </c>
      <c r="V49" s="40"/>
      <c r="W49" s="40"/>
      <c r="X49" s="40"/>
      <c r="Y49" s="40"/>
      <c r="Z49" s="40"/>
      <c r="AA49" s="40"/>
    </row>
    <row r="50" spans="1:27" s="36" customFormat="1" x14ac:dyDescent="0.25">
      <c r="A50" s="165" t="s">
        <v>37</v>
      </c>
      <c r="B50" s="65">
        <v>26</v>
      </c>
      <c r="C50" s="166" t="s">
        <v>16</v>
      </c>
      <c r="D50" s="187">
        <f t="shared" si="67"/>
        <v>100</v>
      </c>
      <c r="E50" s="187">
        <f t="shared" si="67"/>
        <v>100</v>
      </c>
      <c r="F50" s="187">
        <f t="shared" si="67"/>
        <v>100</v>
      </c>
      <c r="G50" s="187">
        <f t="shared" si="67"/>
        <v>100</v>
      </c>
      <c r="H50" s="187">
        <f t="shared" si="67"/>
        <v>100</v>
      </c>
      <c r="I50" s="187">
        <f t="shared" si="67"/>
        <v>100</v>
      </c>
      <c r="J50" s="187">
        <f t="shared" si="68"/>
        <v>100</v>
      </c>
      <c r="K50" s="187">
        <f t="shared" si="68"/>
        <v>100</v>
      </c>
      <c r="L50" s="187">
        <f t="shared" si="68"/>
        <v>100</v>
      </c>
      <c r="M50" s="187">
        <f t="shared" si="68"/>
        <v>100</v>
      </c>
      <c r="N50" s="187">
        <f t="shared" si="68"/>
        <v>100</v>
      </c>
      <c r="O50" s="187">
        <f t="shared" si="68"/>
        <v>100</v>
      </c>
      <c r="P50" s="187">
        <f>+V27/V$27</f>
        <v>1</v>
      </c>
      <c r="Q50" s="187">
        <f t="shared" ref="Q50:U50" si="70">+W27/W$27</f>
        <v>1</v>
      </c>
      <c r="R50" s="187">
        <f t="shared" si="70"/>
        <v>1</v>
      </c>
      <c r="S50" s="187">
        <f t="shared" si="70"/>
        <v>1</v>
      </c>
      <c r="T50" s="187">
        <f t="shared" si="70"/>
        <v>1</v>
      </c>
      <c r="U50" s="187">
        <f t="shared" si="70"/>
        <v>1</v>
      </c>
      <c r="V50" s="40"/>
      <c r="W50" s="40"/>
      <c r="X50" s="40"/>
      <c r="Y50" s="40"/>
      <c r="Z50" s="40"/>
      <c r="AA50" s="40"/>
    </row>
    <row r="51" spans="1:27" s="36" customFormat="1" x14ac:dyDescent="0.25">
      <c r="A51" s="124" t="s">
        <v>72</v>
      </c>
      <c r="B51" s="37"/>
      <c r="C51" s="38"/>
      <c r="D51" s="41"/>
      <c r="E51" s="39"/>
      <c r="F51" s="39"/>
      <c r="G51" s="39"/>
      <c r="H51" s="39"/>
      <c r="I51" s="39"/>
      <c r="J51" s="39"/>
      <c r="K51" s="39"/>
      <c r="L51" s="39"/>
      <c r="M51" s="39"/>
      <c r="N51" s="39"/>
      <c r="O51" s="39"/>
      <c r="P51" s="39"/>
      <c r="Q51" s="39"/>
      <c r="R51" s="39"/>
      <c r="S51" s="41">
        <f>+S34+S36+S37+S38+S39+S43+S44+S46+S48+S49</f>
        <v>172.14413961097787</v>
      </c>
      <c r="T51" s="41">
        <f>+T34+T36+T37+T38+T39+T43+T44+T46+T48+T49</f>
        <v>155.11398310492115</v>
      </c>
      <c r="U51" s="41">
        <f>+U34+U36+U37+U38+U39+U43+U44+U46+U48+U49</f>
        <v>155.38836292788577</v>
      </c>
      <c r="V51" s="142" t="s">
        <v>78</v>
      </c>
      <c r="W51" s="40"/>
      <c r="X51" s="40"/>
      <c r="Y51" s="40"/>
      <c r="Z51" s="40"/>
      <c r="AA51" s="40"/>
    </row>
    <row r="52" spans="1:27" s="36" customFormat="1" x14ac:dyDescent="0.25">
      <c r="A52" s="125" t="s">
        <v>72</v>
      </c>
      <c r="B52" s="65"/>
      <c r="C52" s="166" t="s">
        <v>16</v>
      </c>
      <c r="D52" s="41"/>
      <c r="E52" s="39"/>
      <c r="F52" s="39"/>
      <c r="G52" s="39"/>
      <c r="H52" s="39"/>
      <c r="I52" s="43" t="s">
        <v>68</v>
      </c>
      <c r="J52" s="170">
        <v>50</v>
      </c>
      <c r="K52" s="171">
        <v>10</v>
      </c>
      <c r="L52" s="171">
        <v>5</v>
      </c>
      <c r="M52" s="171">
        <v>5</v>
      </c>
      <c r="N52" s="39"/>
      <c r="O52" s="39"/>
      <c r="P52" s="39"/>
      <c r="Q52" s="39"/>
      <c r="R52" s="39"/>
      <c r="S52" s="39"/>
      <c r="T52" s="39"/>
      <c r="U52" s="143">
        <f>+U34+U36+U37+U40+U45+U46+U48+U49</f>
        <v>153.97136952860936</v>
      </c>
      <c r="V52" s="39" t="s">
        <v>79</v>
      </c>
      <c r="W52" s="40"/>
      <c r="X52" s="40"/>
      <c r="Y52" s="40"/>
      <c r="Z52" s="40"/>
      <c r="AA52" s="40"/>
    </row>
    <row r="53" spans="1:27" s="36" customFormat="1" ht="14.4" x14ac:dyDescent="0.25">
      <c r="A53" s="7" t="s">
        <v>69</v>
      </c>
      <c r="B53" s="65"/>
      <c r="C53" s="166" t="s">
        <v>16</v>
      </c>
      <c r="D53" s="335" t="s">
        <v>64</v>
      </c>
      <c r="E53" s="336"/>
      <c r="F53" s="336"/>
      <c r="G53" s="336"/>
      <c r="H53" s="336"/>
      <c r="I53" s="336"/>
      <c r="J53" s="337" t="s">
        <v>40</v>
      </c>
      <c r="K53" s="337"/>
      <c r="L53" s="337"/>
      <c r="M53" s="337"/>
      <c r="N53" s="81"/>
      <c r="O53" s="81"/>
      <c r="P53" s="39"/>
      <c r="Q53" s="39"/>
      <c r="R53" s="39"/>
      <c r="S53" s="39"/>
      <c r="T53" s="39"/>
      <c r="U53" s="39"/>
      <c r="V53" s="40"/>
      <c r="W53" s="40"/>
      <c r="X53" s="40"/>
      <c r="Y53" s="40"/>
      <c r="Z53" s="40"/>
      <c r="AA53" s="40"/>
    </row>
    <row r="54" spans="1:27" s="36" customFormat="1" ht="24" x14ac:dyDescent="0.25">
      <c r="A54" s="167" t="s">
        <v>71</v>
      </c>
      <c r="B54" s="65"/>
      <c r="C54" s="166" t="s">
        <v>16</v>
      </c>
      <c r="D54" s="180" t="s">
        <v>62</v>
      </c>
      <c r="E54" s="181" t="s">
        <v>7</v>
      </c>
      <c r="F54" s="181" t="s">
        <v>8</v>
      </c>
      <c r="G54" s="182">
        <v>2000</v>
      </c>
      <c r="H54" s="182">
        <v>2005</v>
      </c>
      <c r="I54" s="181" t="s">
        <v>9</v>
      </c>
      <c r="J54" s="183" t="s">
        <v>86</v>
      </c>
      <c r="K54" s="183" t="s">
        <v>67</v>
      </c>
      <c r="L54" s="184" t="s">
        <v>65</v>
      </c>
      <c r="M54" s="184" t="s">
        <v>66</v>
      </c>
      <c r="N54" s="82"/>
      <c r="O54" s="83"/>
      <c r="P54" s="39"/>
      <c r="Q54" s="39"/>
      <c r="R54" s="39"/>
      <c r="S54" s="39"/>
      <c r="T54" s="39"/>
      <c r="U54" s="39"/>
      <c r="V54" s="40"/>
      <c r="W54" s="40"/>
      <c r="X54" s="40"/>
      <c r="Y54" s="40"/>
      <c r="Z54" s="40"/>
      <c r="AA54" s="40"/>
    </row>
    <row r="55" spans="1:27" s="36" customFormat="1" x14ac:dyDescent="0.25">
      <c r="A55" s="157" t="s">
        <v>14</v>
      </c>
      <c r="B55" s="65">
        <v>7</v>
      </c>
      <c r="C55" s="166" t="s">
        <v>16</v>
      </c>
      <c r="D55" s="169">
        <f t="shared" ref="D55:D66" si="71">(V8/$V8)*100</f>
        <v>100</v>
      </c>
      <c r="E55" s="122">
        <f t="shared" ref="E55:E66" si="72">(W8/$V8)*100</f>
        <v>91.836998914698782</v>
      </c>
      <c r="F55" s="122">
        <f t="shared" ref="F55:F66" si="73">(X8/$V8)*100</f>
        <v>77.257021446328821</v>
      </c>
      <c r="G55" s="122">
        <f t="shared" ref="G55:G66" si="74">(Y8/$V8)*100</f>
        <v>94.579757179373701</v>
      </c>
      <c r="H55" s="122">
        <f t="shared" ref="H55:H66" si="75">(Z8/$V8)*100</f>
        <v>116.17465763848367</v>
      </c>
      <c r="I55" s="122">
        <f t="shared" ref="I55:I66" si="76">(AA8/$V8)*100</f>
        <v>150.45129211575318</v>
      </c>
      <c r="J55" s="123">
        <f t="shared" ref="J55:J66" si="77">EXP(LN(AA8/V8)/50)-1</f>
        <v>8.2028445812609707E-3</v>
      </c>
      <c r="K55" s="123">
        <f t="shared" ref="K55:K66" si="78">EXP(LN(Y8/X8)/10)-1</f>
        <v>2.043659146984278E-2</v>
      </c>
      <c r="L55" s="123">
        <f t="shared" ref="L55:L66" si="79">EXP(LN(Z8/Y8)/5)-1</f>
        <v>4.198781732166168E-2</v>
      </c>
      <c r="M55" s="123">
        <f t="shared" ref="M55:M66" si="80">EXP(LN(AA8/Z8)/5)-1</f>
        <v>5.3069183867175074E-2</v>
      </c>
      <c r="N55" s="39"/>
      <c r="O55" s="83"/>
      <c r="P55" s="39"/>
      <c r="Q55" s="39"/>
      <c r="R55" s="39"/>
      <c r="S55" s="39"/>
      <c r="T55" s="39"/>
      <c r="U55" s="39"/>
      <c r="V55" s="40"/>
      <c r="W55" s="40"/>
      <c r="X55" s="40"/>
      <c r="Y55" s="40"/>
      <c r="Z55" s="40"/>
      <c r="AA55" s="40"/>
    </row>
    <row r="56" spans="1:27" s="36" customFormat="1" x14ac:dyDescent="0.25">
      <c r="A56" s="158" t="s">
        <v>17</v>
      </c>
      <c r="B56" s="65">
        <v>8</v>
      </c>
      <c r="C56" s="166" t="s">
        <v>16</v>
      </c>
      <c r="D56" s="169">
        <f t="shared" si="71"/>
        <v>100</v>
      </c>
      <c r="E56" s="122">
        <f t="shared" si="72"/>
        <v>410.15263495051323</v>
      </c>
      <c r="F56" s="122">
        <f t="shared" si="73"/>
        <v>565.0195815321307</v>
      </c>
      <c r="G56" s="122">
        <f t="shared" si="74"/>
        <v>1057.0478991046075</v>
      </c>
      <c r="H56" s="122">
        <f t="shared" si="75"/>
        <v>1176.679450592261</v>
      </c>
      <c r="I56" s="122">
        <f t="shared" si="76"/>
        <v>950.39772103200698</v>
      </c>
      <c r="J56" s="123">
        <f t="shared" si="77"/>
        <v>4.6063642303538987E-2</v>
      </c>
      <c r="K56" s="123">
        <f t="shared" si="78"/>
        <v>6.4640827686216706E-2</v>
      </c>
      <c r="L56" s="123">
        <f t="shared" si="79"/>
        <v>2.16748443635284E-2</v>
      </c>
      <c r="M56" s="123">
        <f t="shared" si="80"/>
        <v>-4.1814833273297269E-2</v>
      </c>
      <c r="N56" s="39"/>
      <c r="O56" s="83"/>
      <c r="P56" s="39"/>
      <c r="Q56" s="39"/>
      <c r="R56" s="39"/>
      <c r="S56" s="39"/>
      <c r="T56" s="39"/>
      <c r="U56" s="39"/>
      <c r="V56" s="40"/>
      <c r="W56" s="40"/>
      <c r="X56" s="40"/>
      <c r="Y56" s="40"/>
      <c r="Z56" s="40"/>
      <c r="AA56" s="40"/>
    </row>
    <row r="57" spans="1:27" s="36" customFormat="1" x14ac:dyDescent="0.25">
      <c r="A57" s="159" t="s">
        <v>19</v>
      </c>
      <c r="B57" s="65">
        <v>9</v>
      </c>
      <c r="C57" s="166" t="s">
        <v>16</v>
      </c>
      <c r="D57" s="169">
        <f t="shared" si="71"/>
        <v>100</v>
      </c>
      <c r="E57" s="122">
        <f t="shared" si="72"/>
        <v>1279.778195973352</v>
      </c>
      <c r="F57" s="122">
        <f t="shared" si="73"/>
        <v>1452.364995724141</v>
      </c>
      <c r="G57" s="122">
        <f t="shared" si="74"/>
        <v>1580.1675932931221</v>
      </c>
      <c r="H57" s="122">
        <f t="shared" si="75"/>
        <v>1648.226300027311</v>
      </c>
      <c r="I57" s="122">
        <f t="shared" si="76"/>
        <v>1725.9532141776565</v>
      </c>
      <c r="J57" s="123">
        <f t="shared" si="77"/>
        <v>5.8621183998376791E-2</v>
      </c>
      <c r="K57" s="123">
        <f t="shared" si="78"/>
        <v>8.4694297743890257E-3</v>
      </c>
      <c r="L57" s="123">
        <f t="shared" si="79"/>
        <v>8.4694297743890257E-3</v>
      </c>
      <c r="M57" s="123">
        <f t="shared" si="80"/>
        <v>9.258546768803555E-3</v>
      </c>
      <c r="N57" s="39"/>
      <c r="O57" s="83"/>
      <c r="P57" s="39"/>
      <c r="Q57" s="39"/>
      <c r="R57" s="39"/>
      <c r="S57" s="39"/>
      <c r="T57" s="39"/>
      <c r="U57" s="39"/>
      <c r="V57" s="40"/>
      <c r="W57" s="40"/>
      <c r="X57" s="40"/>
      <c r="Y57" s="40"/>
      <c r="Z57" s="40"/>
      <c r="AA57" s="40"/>
    </row>
    <row r="58" spans="1:27" s="36" customFormat="1" x14ac:dyDescent="0.25">
      <c r="A58" s="160" t="s">
        <v>20</v>
      </c>
      <c r="B58" s="65">
        <v>10</v>
      </c>
      <c r="C58" s="166" t="s">
        <v>16</v>
      </c>
      <c r="D58" s="169">
        <f t="shared" si="71"/>
        <v>100</v>
      </c>
      <c r="E58" s="122">
        <f t="shared" si="72"/>
        <v>68.102093319698881</v>
      </c>
      <c r="F58" s="122">
        <f t="shared" si="73"/>
        <v>181.38135805707654</v>
      </c>
      <c r="G58" s="122">
        <f t="shared" si="74"/>
        <v>348.50908818109679</v>
      </c>
      <c r="H58" s="122">
        <f t="shared" si="75"/>
        <v>483.08642872675279</v>
      </c>
      <c r="I58" s="122">
        <f t="shared" si="76"/>
        <v>672.25502444614983</v>
      </c>
      <c r="J58" s="123">
        <f t="shared" si="77"/>
        <v>3.8844826078092698E-2</v>
      </c>
      <c r="K58" s="123">
        <f t="shared" si="78"/>
        <v>6.7485896421816571E-2</v>
      </c>
      <c r="L58" s="123">
        <f t="shared" si="79"/>
        <v>6.7485896421816571E-2</v>
      </c>
      <c r="M58" s="123">
        <f t="shared" si="80"/>
        <v>6.8321193196607455E-2</v>
      </c>
      <c r="N58" s="39"/>
      <c r="O58" s="83"/>
      <c r="P58" s="39"/>
      <c r="Q58" s="39"/>
      <c r="R58" s="39"/>
      <c r="S58" s="39"/>
      <c r="T58" s="39"/>
      <c r="U58" s="39"/>
      <c r="V58" s="40"/>
      <c r="W58" s="40"/>
      <c r="X58" s="40"/>
      <c r="Y58" s="40"/>
      <c r="Z58" s="40"/>
      <c r="AA58" s="40"/>
    </row>
    <row r="59" spans="1:27" s="36" customFormat="1" x14ac:dyDescent="0.25">
      <c r="A59" s="160" t="s">
        <v>21</v>
      </c>
      <c r="B59" s="65">
        <v>11</v>
      </c>
      <c r="C59" s="166"/>
      <c r="D59" s="169">
        <f t="shared" si="71"/>
        <v>100</v>
      </c>
      <c r="E59" s="122">
        <f t="shared" si="72"/>
        <v>441.91305208750373</v>
      </c>
      <c r="F59" s="122">
        <f t="shared" si="73"/>
        <v>477.11143925801645</v>
      </c>
      <c r="G59" s="122">
        <f t="shared" si="74"/>
        <v>502.12112869505512</v>
      </c>
      <c r="H59" s="122">
        <f t="shared" si="75"/>
        <v>515.11337896800035</v>
      </c>
      <c r="I59" s="122">
        <f t="shared" si="76"/>
        <v>530.51253984874018</v>
      </c>
      <c r="J59" s="123">
        <f t="shared" si="77"/>
        <v>3.3936609580105248E-2</v>
      </c>
      <c r="K59" s="123">
        <f t="shared" si="78"/>
        <v>5.1222032499953496E-3</v>
      </c>
      <c r="L59" s="123">
        <f t="shared" si="79"/>
        <v>5.1222032499953496E-3</v>
      </c>
      <c r="M59" s="123">
        <f t="shared" si="80"/>
        <v>5.9087010739560242E-3</v>
      </c>
      <c r="N59" s="39"/>
      <c r="O59" s="83"/>
      <c r="P59" s="39"/>
      <c r="Q59" s="39"/>
      <c r="R59" s="39"/>
      <c r="S59" s="39"/>
      <c r="T59" s="39"/>
      <c r="U59" s="39"/>
      <c r="V59" s="40"/>
      <c r="W59" s="40"/>
      <c r="X59" s="40"/>
      <c r="Y59" s="40"/>
      <c r="Z59" s="40"/>
      <c r="AA59" s="40"/>
    </row>
    <row r="60" spans="1:27" s="36" customFormat="1" x14ac:dyDescent="0.25">
      <c r="A60" s="160" t="s">
        <v>22</v>
      </c>
      <c r="B60" s="65">
        <v>12</v>
      </c>
      <c r="C60" s="166"/>
      <c r="D60" s="169">
        <f t="shared" si="71"/>
        <v>100</v>
      </c>
      <c r="E60" s="122">
        <f t="shared" si="72"/>
        <v>372.38713626570217</v>
      </c>
      <c r="F60" s="122">
        <f t="shared" si="73"/>
        <v>346.30297693342538</v>
      </c>
      <c r="G60" s="122">
        <f t="shared" si="74"/>
        <v>329.93667593492091</v>
      </c>
      <c r="H60" s="122">
        <f t="shared" si="75"/>
        <v>322.04590372150824</v>
      </c>
      <c r="I60" s="122">
        <f t="shared" si="76"/>
        <v>315.57562777569086</v>
      </c>
      <c r="J60" s="123">
        <f t="shared" si="77"/>
        <v>2.3250744014299274E-2</v>
      </c>
      <c r="K60" s="123">
        <f t="shared" si="78"/>
        <v>-4.8296299330093939E-3</v>
      </c>
      <c r="L60" s="123">
        <f t="shared" si="79"/>
        <v>-4.8296299330092829E-3</v>
      </c>
      <c r="M60" s="123">
        <f t="shared" si="80"/>
        <v>-4.0509193165314539E-3</v>
      </c>
      <c r="N60" s="39"/>
      <c r="O60" s="83"/>
      <c r="P60" s="39"/>
      <c r="Q60" s="39"/>
      <c r="R60" s="39"/>
      <c r="S60" s="39"/>
      <c r="T60" s="39"/>
      <c r="U60" s="39"/>
      <c r="V60" s="40"/>
      <c r="W60" s="40"/>
      <c r="X60" s="40"/>
      <c r="Y60" s="40"/>
      <c r="Z60" s="40"/>
      <c r="AA60" s="40"/>
    </row>
    <row r="61" spans="1:27" s="36" customFormat="1" x14ac:dyDescent="0.25">
      <c r="A61" s="161" t="s">
        <v>61</v>
      </c>
      <c r="B61" s="65">
        <v>13</v>
      </c>
      <c r="C61" s="166" t="s">
        <v>16</v>
      </c>
      <c r="D61" s="169">
        <f t="shared" si="71"/>
        <v>100</v>
      </c>
      <c r="E61" s="122">
        <f t="shared" si="72"/>
        <v>365.58622280753519</v>
      </c>
      <c r="F61" s="122">
        <f t="shared" si="73"/>
        <v>320.69475116552655</v>
      </c>
      <c r="G61" s="122">
        <f t="shared" si="74"/>
        <v>317.93733747225087</v>
      </c>
      <c r="H61" s="122">
        <f t="shared" si="75"/>
        <v>303.04327134600265</v>
      </c>
      <c r="I61" s="122">
        <f t="shared" si="76"/>
        <v>309.65895480288418</v>
      </c>
      <c r="J61" s="123">
        <f t="shared" si="77"/>
        <v>2.2863479767822437E-2</v>
      </c>
      <c r="K61" s="123">
        <f t="shared" si="78"/>
        <v>-8.631700912856699E-4</v>
      </c>
      <c r="L61" s="123">
        <f t="shared" si="79"/>
        <v>-9.5498490525925961E-3</v>
      </c>
      <c r="M61" s="123">
        <f t="shared" si="80"/>
        <v>4.3285293455843643E-3</v>
      </c>
      <c r="N61" s="39"/>
      <c r="O61" s="83"/>
      <c r="P61" s="39"/>
      <c r="Q61" s="39"/>
      <c r="R61" s="39"/>
      <c r="S61" s="39"/>
      <c r="T61" s="39"/>
      <c r="U61" s="39"/>
      <c r="V61" s="40"/>
      <c r="W61" s="40"/>
      <c r="X61" s="40"/>
      <c r="Y61" s="40"/>
      <c r="Z61" s="40"/>
      <c r="AA61" s="40"/>
    </row>
    <row r="62" spans="1:27" s="36" customFormat="1" x14ac:dyDescent="0.25">
      <c r="A62" s="162" t="s">
        <v>23</v>
      </c>
      <c r="B62" s="65">
        <v>14</v>
      </c>
      <c r="C62" s="166" t="s">
        <v>16</v>
      </c>
      <c r="D62" s="169">
        <f t="shared" si="71"/>
        <v>100</v>
      </c>
      <c r="E62" s="122">
        <f t="shared" si="72"/>
        <v>148.16916575730909</v>
      </c>
      <c r="F62" s="122">
        <f t="shared" si="73"/>
        <v>198.4122241967506</v>
      </c>
      <c r="G62" s="122">
        <f t="shared" si="74"/>
        <v>190.89394780211055</v>
      </c>
      <c r="H62" s="122">
        <f t="shared" si="75"/>
        <v>204.83232291702822</v>
      </c>
      <c r="I62" s="122">
        <f t="shared" si="76"/>
        <v>232.56570716744972</v>
      </c>
      <c r="J62" s="123">
        <f t="shared" si="77"/>
        <v>1.7023325310232984E-2</v>
      </c>
      <c r="K62" s="123">
        <f t="shared" si="78"/>
        <v>-3.8554266960415529E-3</v>
      </c>
      <c r="L62" s="123">
        <f t="shared" si="79"/>
        <v>1.4194535267985531E-2</v>
      </c>
      <c r="M62" s="123">
        <f t="shared" si="80"/>
        <v>2.5721449141968833E-2</v>
      </c>
      <c r="N62" s="39"/>
      <c r="O62" s="83"/>
      <c r="P62" s="39"/>
      <c r="Q62" s="39"/>
      <c r="R62" s="39"/>
      <c r="S62" s="39"/>
      <c r="T62" s="39"/>
      <c r="U62" s="39"/>
      <c r="V62" s="40"/>
      <c r="W62" s="40"/>
      <c r="X62" s="40"/>
      <c r="Y62" s="40"/>
      <c r="Z62" s="40"/>
      <c r="AA62" s="40"/>
    </row>
    <row r="63" spans="1:27" s="36" customFormat="1" x14ac:dyDescent="0.25">
      <c r="A63" s="159" t="s">
        <v>24</v>
      </c>
      <c r="B63" s="65">
        <v>15</v>
      </c>
      <c r="C63" s="166" t="s">
        <v>16</v>
      </c>
      <c r="D63" s="169">
        <f t="shared" si="71"/>
        <v>100</v>
      </c>
      <c r="E63" s="122">
        <f t="shared" si="72"/>
        <v>170.99896376605847</v>
      </c>
      <c r="F63" s="122">
        <f t="shared" si="73"/>
        <v>232.85070158502811</v>
      </c>
      <c r="G63" s="122">
        <f t="shared" si="74"/>
        <v>256.41702079280282</v>
      </c>
      <c r="H63" s="122">
        <f t="shared" si="75"/>
        <v>266.79895863274095</v>
      </c>
      <c r="I63" s="122">
        <f t="shared" si="76"/>
        <v>294.8556546768869</v>
      </c>
      <c r="J63" s="123">
        <f t="shared" si="77"/>
        <v>2.1861858552263191E-2</v>
      </c>
      <c r="K63" s="123">
        <f t="shared" si="78"/>
        <v>9.687384266150012E-3</v>
      </c>
      <c r="L63" s="123">
        <f t="shared" si="79"/>
        <v>7.9696507908944003E-3</v>
      </c>
      <c r="M63" s="123">
        <f t="shared" si="80"/>
        <v>2.0199405635484835E-2</v>
      </c>
      <c r="N63" s="39"/>
      <c r="O63" s="83"/>
      <c r="P63" s="39"/>
      <c r="Q63" s="39"/>
      <c r="R63" s="39"/>
      <c r="S63" s="39"/>
      <c r="T63" s="39"/>
      <c r="U63" s="39"/>
      <c r="V63" s="40"/>
      <c r="W63" s="40"/>
      <c r="X63" s="40"/>
      <c r="Y63" s="40"/>
      <c r="Z63" s="40"/>
      <c r="AA63" s="40"/>
    </row>
    <row r="64" spans="1:27" s="36" customFormat="1" x14ac:dyDescent="0.25">
      <c r="A64" s="163" t="s">
        <v>25</v>
      </c>
      <c r="B64" s="65">
        <v>16</v>
      </c>
      <c r="C64" s="166"/>
      <c r="D64" s="169">
        <f t="shared" si="71"/>
        <v>100</v>
      </c>
      <c r="E64" s="122">
        <f t="shared" si="72"/>
        <v>146.32501584932248</v>
      </c>
      <c r="F64" s="122">
        <f t="shared" si="73"/>
        <v>199.19583261368101</v>
      </c>
      <c r="G64" s="122">
        <f t="shared" si="74"/>
        <v>244.67411563735371</v>
      </c>
      <c r="H64" s="122">
        <f t="shared" si="75"/>
        <v>271.17017210178795</v>
      </c>
      <c r="I64" s="122">
        <f t="shared" si="76"/>
        <v>301.71319003498826</v>
      </c>
      <c r="J64" s="123">
        <f t="shared" si="77"/>
        <v>2.2331837764283824E-2</v>
      </c>
      <c r="K64" s="123">
        <f t="shared" si="78"/>
        <v>2.0776769353800351E-2</v>
      </c>
      <c r="L64" s="123">
        <f t="shared" si="79"/>
        <v>2.0776769353800351E-2</v>
      </c>
      <c r="M64" s="123">
        <f t="shared" si="80"/>
        <v>2.1575516715316434E-2</v>
      </c>
      <c r="N64" s="39"/>
      <c r="O64" s="83"/>
      <c r="P64" s="39"/>
      <c r="Q64" s="39"/>
      <c r="R64" s="39"/>
      <c r="S64" s="39"/>
      <c r="T64" s="39"/>
      <c r="U64" s="39"/>
      <c r="V64" s="40"/>
      <c r="W64" s="40"/>
      <c r="X64" s="40"/>
      <c r="Y64" s="40"/>
      <c r="Z64" s="40"/>
      <c r="AA64" s="40"/>
    </row>
    <row r="65" spans="1:27" s="36" customFormat="1" x14ac:dyDescent="0.25">
      <c r="A65" s="163" t="s">
        <v>26</v>
      </c>
      <c r="B65" s="65">
        <v>17</v>
      </c>
      <c r="C65" s="166"/>
      <c r="D65" s="169">
        <f t="shared" si="71"/>
        <v>100</v>
      </c>
      <c r="E65" s="122">
        <f t="shared" si="72"/>
        <v>425.21846310954754</v>
      </c>
      <c r="F65" s="122">
        <f t="shared" si="73"/>
        <v>392.5132673761176</v>
      </c>
      <c r="G65" s="122">
        <f t="shared" si="74"/>
        <v>372.11955473535943</v>
      </c>
      <c r="H65" s="122">
        <f t="shared" si="75"/>
        <v>362.32355467261067</v>
      </c>
      <c r="I65" s="122">
        <f t="shared" si="76"/>
        <v>354.16784976101604</v>
      </c>
      <c r="J65" s="123">
        <f t="shared" si="77"/>
        <v>2.5614571980622891E-2</v>
      </c>
      <c r="K65" s="123">
        <f t="shared" si="78"/>
        <v>-5.3213066743137416E-3</v>
      </c>
      <c r="L65" s="123">
        <f t="shared" si="79"/>
        <v>-5.3213066743137416E-3</v>
      </c>
      <c r="M65" s="123">
        <f t="shared" si="80"/>
        <v>-4.542980789847384E-3</v>
      </c>
      <c r="N65" s="39"/>
      <c r="O65" s="83"/>
      <c r="P65" s="39"/>
      <c r="Q65" s="39"/>
      <c r="R65" s="39"/>
      <c r="S65" s="39"/>
      <c r="T65" s="39"/>
      <c r="U65" s="39"/>
      <c r="V65" s="40"/>
      <c r="W65" s="40"/>
      <c r="X65" s="40"/>
      <c r="Y65" s="40"/>
      <c r="Z65" s="40"/>
      <c r="AA65" s="40"/>
    </row>
    <row r="66" spans="1:27" s="36" customFormat="1" x14ac:dyDescent="0.25">
      <c r="A66" s="160" t="s">
        <v>27</v>
      </c>
      <c r="B66" s="65">
        <v>18</v>
      </c>
      <c r="C66" s="166" t="s">
        <v>16</v>
      </c>
      <c r="D66" s="169">
        <f t="shared" si="71"/>
        <v>100</v>
      </c>
      <c r="E66" s="122">
        <f t="shared" si="72"/>
        <v>159.04086836045045</v>
      </c>
      <c r="F66" s="122">
        <f t="shared" si="73"/>
        <v>211.75531349508043</v>
      </c>
      <c r="G66" s="122">
        <f t="shared" si="74"/>
        <v>255.76752432243043</v>
      </c>
      <c r="H66" s="122">
        <f t="shared" si="75"/>
        <v>276.64831950984944</v>
      </c>
      <c r="I66" s="122">
        <f t="shared" si="76"/>
        <v>301.81228698438997</v>
      </c>
      <c r="J66" s="123">
        <f t="shared" si="77"/>
        <v>2.2338552330867234E-2</v>
      </c>
      <c r="K66" s="123">
        <f t="shared" si="78"/>
        <v>1.9063175363983831E-2</v>
      </c>
      <c r="L66" s="123">
        <f t="shared" si="79"/>
        <v>1.5819457670759984E-2</v>
      </c>
      <c r="M66" s="123">
        <f t="shared" si="80"/>
        <v>1.7564098673079176E-2</v>
      </c>
      <c r="N66" s="39"/>
      <c r="O66" s="83"/>
      <c r="P66" s="39"/>
      <c r="Q66" s="39"/>
      <c r="R66" s="39"/>
      <c r="S66" s="39"/>
      <c r="T66" s="39"/>
      <c r="U66" s="39"/>
      <c r="V66" s="40"/>
      <c r="W66" s="40"/>
      <c r="X66" s="40"/>
      <c r="Y66" s="40"/>
      <c r="Z66" s="40"/>
      <c r="AA66" s="40"/>
    </row>
    <row r="67" spans="1:27" s="36" customFormat="1" x14ac:dyDescent="0.25">
      <c r="A67" s="159" t="s">
        <v>63</v>
      </c>
      <c r="B67" s="65">
        <v>21</v>
      </c>
      <c r="C67" s="166" t="s">
        <v>16</v>
      </c>
      <c r="D67" s="169">
        <f t="shared" ref="D67:I69" si="81">(V22/$V22)*100</f>
        <v>100</v>
      </c>
      <c r="E67" s="122">
        <f t="shared" si="81"/>
        <v>1269.9597760238562</v>
      </c>
      <c r="F67" s="122">
        <f t="shared" si="81"/>
        <v>587.25103505624861</v>
      </c>
      <c r="G67" s="122">
        <f t="shared" si="81"/>
        <v>243.06222900899627</v>
      </c>
      <c r="H67" s="122">
        <f t="shared" si="81"/>
        <v>169.92471842667322</v>
      </c>
      <c r="I67" s="122">
        <f t="shared" si="81"/>
        <v>222.78169162752403</v>
      </c>
      <c r="J67" s="123">
        <f>EXP(LN(AA22/V22)/50)-1</f>
        <v>1.6149458228714941E-2</v>
      </c>
      <c r="K67" s="123">
        <f>EXP(LN(Y22/X22)/10)-1</f>
        <v>-8.4434607197988343E-2</v>
      </c>
      <c r="L67" s="123">
        <f t="shared" ref="L67:M69" si="82">EXP(LN(Z22/Y22)/5)-1</f>
        <v>-6.9089740779000319E-2</v>
      </c>
      <c r="M67" s="123">
        <f t="shared" si="82"/>
        <v>5.5661268006293785E-2</v>
      </c>
      <c r="N67" s="39"/>
      <c r="O67" s="83"/>
      <c r="P67" s="39"/>
      <c r="Q67" s="39"/>
      <c r="R67" s="39"/>
      <c r="S67" s="39"/>
      <c r="T67" s="39"/>
      <c r="U67" s="39"/>
      <c r="V67" s="40"/>
      <c r="W67" s="40"/>
      <c r="X67" s="40"/>
      <c r="Y67" s="40"/>
      <c r="Z67" s="40"/>
      <c r="AA67" s="40"/>
    </row>
    <row r="68" spans="1:27" s="36" customFormat="1" x14ac:dyDescent="0.25">
      <c r="A68" s="160" t="s">
        <v>32</v>
      </c>
      <c r="B68" s="65">
        <v>22</v>
      </c>
      <c r="C68" s="166" t="s">
        <v>16</v>
      </c>
      <c r="D68" s="169">
        <f t="shared" si="81"/>
        <v>100</v>
      </c>
      <c r="E68" s="122">
        <f t="shared" si="81"/>
        <v>125.66549722525808</v>
      </c>
      <c r="F68" s="122">
        <f t="shared" si="81"/>
        <v>143.58354922921228</v>
      </c>
      <c r="G68" s="122">
        <f t="shared" si="81"/>
        <v>126.02007190513764</v>
      </c>
      <c r="H68" s="122">
        <f t="shared" si="81"/>
        <v>124.75812264520492</v>
      </c>
      <c r="I68" s="122">
        <f t="shared" si="81"/>
        <v>123.48740414860011</v>
      </c>
      <c r="J68" s="123">
        <f>EXP(LN(AA23/V23)/50)-1</f>
        <v>4.2282935981265979E-3</v>
      </c>
      <c r="K68" s="123">
        <f>EXP(LN(Y23/X23)/10)-1</f>
        <v>-1.2962838728835968E-2</v>
      </c>
      <c r="L68" s="123">
        <f t="shared" si="82"/>
        <v>-2.010845775751724E-3</v>
      </c>
      <c r="M68" s="123">
        <f t="shared" si="82"/>
        <v>-2.045441972459483E-3</v>
      </c>
      <c r="N68" s="39"/>
      <c r="O68" s="83"/>
      <c r="P68" s="39"/>
      <c r="Q68" s="39"/>
      <c r="R68" s="39"/>
      <c r="S68" s="39"/>
      <c r="T68" s="39"/>
      <c r="U68" s="39"/>
      <c r="V68" s="40"/>
      <c r="W68" s="40"/>
      <c r="X68" s="40"/>
      <c r="Y68" s="40"/>
      <c r="Z68" s="40"/>
      <c r="AA68" s="40"/>
    </row>
    <row r="69" spans="1:27" s="36" customFormat="1" x14ac:dyDescent="0.25">
      <c r="A69" s="159" t="s">
        <v>33</v>
      </c>
      <c r="B69" s="65">
        <v>23</v>
      </c>
      <c r="C69" s="166" t="s">
        <v>16</v>
      </c>
      <c r="D69" s="169">
        <f t="shared" si="81"/>
        <v>100</v>
      </c>
      <c r="E69" s="122">
        <f t="shared" si="81"/>
        <v>171.47754607486115</v>
      </c>
      <c r="F69" s="122">
        <f t="shared" si="81"/>
        <v>147.89179920937195</v>
      </c>
      <c r="G69" s="122">
        <f t="shared" si="81"/>
        <v>133.99913066744415</v>
      </c>
      <c r="H69" s="122">
        <f t="shared" si="81"/>
        <v>127.55013571185954</v>
      </c>
      <c r="I69" s="122">
        <f t="shared" si="81"/>
        <v>121.88727273527979</v>
      </c>
      <c r="J69" s="123">
        <f>EXP(LN(AA24/V24)/50)-1</f>
        <v>3.966374076035617E-3</v>
      </c>
      <c r="K69" s="123">
        <f>EXP(LN(Y24/X24)/10)-1</f>
        <v>-9.8162636088653388E-3</v>
      </c>
      <c r="L69" s="123">
        <f t="shared" si="82"/>
        <v>-9.8162636088653388E-3</v>
      </c>
      <c r="M69" s="123">
        <f t="shared" si="82"/>
        <v>-9.0414549821381529E-3</v>
      </c>
      <c r="N69" s="39"/>
      <c r="O69" s="83"/>
      <c r="P69" s="39"/>
      <c r="Q69" s="39"/>
      <c r="R69" s="39"/>
      <c r="S69" s="39"/>
      <c r="T69" s="39"/>
      <c r="U69" s="39"/>
      <c r="V69" s="40"/>
      <c r="W69" s="40"/>
      <c r="X69" s="40"/>
      <c r="Y69" s="40"/>
      <c r="Z69" s="40"/>
      <c r="AA69" s="40"/>
    </row>
    <row r="70" spans="1:27" s="36" customFormat="1" x14ac:dyDescent="0.25">
      <c r="A70" s="164" t="s">
        <v>35</v>
      </c>
      <c r="B70" s="65">
        <v>25</v>
      </c>
      <c r="C70" s="166" t="s">
        <v>16</v>
      </c>
      <c r="D70" s="169">
        <f t="shared" ref="D70:I71" si="83">(V26/$V26)*100</f>
        <v>100</v>
      </c>
      <c r="E70" s="122">
        <f t="shared" si="83"/>
        <v>88.149272933175112</v>
      </c>
      <c r="F70" s="122">
        <f t="shared" si="83"/>
        <v>101.18423335698317</v>
      </c>
      <c r="G70" s="122">
        <f t="shared" si="83"/>
        <v>110.92827329540947</v>
      </c>
      <c r="H70" s="122">
        <f t="shared" si="83"/>
        <v>116.14672179771604</v>
      </c>
      <c r="I70" s="122">
        <f t="shared" si="83"/>
        <v>122.08720479826742</v>
      </c>
      <c r="J70" s="123">
        <f>EXP(LN(AA26/V26)/50)-1</f>
        <v>3.9992838139950582E-3</v>
      </c>
      <c r="K70" s="123">
        <f>EXP(LN(Y26/X26)/10)-1</f>
        <v>9.2364812431930954E-3</v>
      </c>
      <c r="L70" s="123">
        <f>EXP(LN(Z26/Y26)/5)-1</f>
        <v>9.2364812431930954E-3</v>
      </c>
      <c r="M70" s="123">
        <f>EXP(LN(AA26/Z26)/5)-1</f>
        <v>1.0026198447521839E-2</v>
      </c>
      <c r="N70" s="39"/>
      <c r="O70" s="83"/>
      <c r="P70" s="39"/>
      <c r="Q70" s="39"/>
      <c r="R70" s="39"/>
      <c r="S70" s="39"/>
      <c r="T70" s="39"/>
      <c r="U70" s="39"/>
      <c r="V70" s="40"/>
      <c r="W70" s="40"/>
      <c r="X70" s="40"/>
      <c r="Y70" s="40"/>
      <c r="Z70" s="40"/>
      <c r="AA70" s="40"/>
    </row>
    <row r="71" spans="1:27" s="36" customFormat="1" x14ac:dyDescent="0.25">
      <c r="A71" s="168" t="s">
        <v>37</v>
      </c>
      <c r="B71" s="65">
        <v>26</v>
      </c>
      <c r="C71" s="166" t="s">
        <v>16</v>
      </c>
      <c r="D71" s="169">
        <f t="shared" si="83"/>
        <v>100</v>
      </c>
      <c r="E71" s="122">
        <f t="shared" si="83"/>
        <v>191.01962030446816</v>
      </c>
      <c r="F71" s="122">
        <f t="shared" si="83"/>
        <v>181.1670117406253</v>
      </c>
      <c r="G71" s="122">
        <f t="shared" si="83"/>
        <v>196.71021171168539</v>
      </c>
      <c r="H71" s="122">
        <f t="shared" si="83"/>
        <v>227.40084354842401</v>
      </c>
      <c r="I71" s="122">
        <f t="shared" si="83"/>
        <v>238.31804157823657</v>
      </c>
      <c r="J71" s="123">
        <f>EXP(LN(AA27/V27)/50)-1</f>
        <v>1.7520431361712108E-2</v>
      </c>
      <c r="K71" s="123">
        <f>EXP(LN(Y27/X27)/10)-1</f>
        <v>8.2652013858319773E-3</v>
      </c>
      <c r="L71" s="123">
        <f>EXP(LN(Z27/Y27)/5)-1</f>
        <v>2.9421022715485412E-2</v>
      </c>
      <c r="M71" s="123">
        <f>EXP(LN(AA27/Z27)/5)-1</f>
        <v>9.4224746001225768E-3</v>
      </c>
      <c r="N71" s="39"/>
      <c r="O71" s="83"/>
      <c r="P71" s="39"/>
      <c r="Q71" s="39"/>
      <c r="R71" s="39"/>
      <c r="S71" s="39"/>
      <c r="T71" s="39"/>
      <c r="U71" s="39"/>
      <c r="V71" s="40"/>
      <c r="W71" s="40"/>
      <c r="X71" s="40"/>
      <c r="Y71" s="40"/>
      <c r="Z71" s="40"/>
      <c r="AA71" s="40"/>
    </row>
    <row r="72" spans="1:27" s="36" customFormat="1" x14ac:dyDescent="0.25">
      <c r="B72" s="37"/>
      <c r="C72" s="38"/>
      <c r="D72" s="84"/>
      <c r="E72" s="39"/>
      <c r="F72" s="39"/>
      <c r="G72" s="39"/>
      <c r="H72" s="39"/>
      <c r="I72" s="39"/>
      <c r="J72" s="39"/>
      <c r="K72" s="39"/>
      <c r="L72" s="39"/>
      <c r="M72" s="39"/>
      <c r="N72" s="39"/>
      <c r="O72" s="83"/>
      <c r="P72" s="39"/>
      <c r="Q72" s="39"/>
      <c r="R72" s="39"/>
      <c r="S72" s="39"/>
      <c r="T72" s="39"/>
      <c r="U72" s="39"/>
      <c r="V72" s="40"/>
      <c r="W72" s="40"/>
      <c r="X72" s="40"/>
      <c r="Y72" s="40"/>
      <c r="Z72" s="40"/>
      <c r="AA72" s="40"/>
    </row>
    <row r="73" spans="1:27" x14ac:dyDescent="0.25">
      <c r="O73" s="83"/>
    </row>
    <row r="74" spans="1:27" x14ac:dyDescent="0.25">
      <c r="O74" s="83"/>
    </row>
    <row r="75" spans="1:27" x14ac:dyDescent="0.25">
      <c r="O75" s="83"/>
    </row>
    <row r="76" spans="1:27" x14ac:dyDescent="0.25">
      <c r="O76" s="83"/>
    </row>
    <row r="77" spans="1:27" x14ac:dyDescent="0.25">
      <c r="O77" s="83"/>
    </row>
    <row r="78" spans="1:27" x14ac:dyDescent="0.25">
      <c r="O78" s="83"/>
    </row>
    <row r="79" spans="1:27" x14ac:dyDescent="0.25">
      <c r="O79" s="83"/>
    </row>
    <row r="80" spans="1:27" x14ac:dyDescent="0.25">
      <c r="O80" s="83"/>
    </row>
    <row r="81" spans="15:15" x14ac:dyDescent="0.25">
      <c r="O81" s="83"/>
    </row>
    <row r="82" spans="15:15" x14ac:dyDescent="0.25">
      <c r="O82" s="83"/>
    </row>
    <row r="83" spans="15:15" x14ac:dyDescent="0.25">
      <c r="O83" s="83"/>
    </row>
    <row r="84" spans="15:15" x14ac:dyDescent="0.25">
      <c r="O84" s="83"/>
    </row>
    <row r="85" spans="15:15" x14ac:dyDescent="0.25">
      <c r="O85" s="83"/>
    </row>
    <row r="86" spans="15:15" x14ac:dyDescent="0.25">
      <c r="O86" s="83"/>
    </row>
    <row r="87" spans="15:15" x14ac:dyDescent="0.25">
      <c r="O87" s="83"/>
    </row>
    <row r="88" spans="15:15" x14ac:dyDescent="0.25">
      <c r="O88" s="83"/>
    </row>
    <row r="89" spans="15:15" x14ac:dyDescent="0.25">
      <c r="O89" s="83"/>
    </row>
    <row r="90" spans="15:15" x14ac:dyDescent="0.25">
      <c r="O90" s="83"/>
    </row>
    <row r="91" spans="15:15" x14ac:dyDescent="0.25">
      <c r="O91" s="83"/>
    </row>
    <row r="92" spans="15:15" x14ac:dyDescent="0.25">
      <c r="O92" s="83"/>
    </row>
    <row r="93" spans="15:15" x14ac:dyDescent="0.25">
      <c r="O93" s="83"/>
    </row>
    <row r="94" spans="15:15" x14ac:dyDescent="0.25">
      <c r="O94" s="83"/>
    </row>
    <row r="95" spans="15:15" x14ac:dyDescent="0.25">
      <c r="O95" s="83"/>
    </row>
    <row r="96" spans="15:15" x14ac:dyDescent="0.25">
      <c r="O96" s="83"/>
    </row>
    <row r="97" spans="15:15" x14ac:dyDescent="0.25">
      <c r="O97" s="83"/>
    </row>
    <row r="98" spans="15:15" x14ac:dyDescent="0.25">
      <c r="O98" s="83"/>
    </row>
    <row r="99" spans="15:15" x14ac:dyDescent="0.25">
      <c r="O99" s="83"/>
    </row>
    <row r="100" spans="15:15" x14ac:dyDescent="0.25">
      <c r="O100" s="83"/>
    </row>
    <row r="101" spans="15:15" x14ac:dyDescent="0.25">
      <c r="O101" s="83"/>
    </row>
    <row r="102" spans="15:15" x14ac:dyDescent="0.25">
      <c r="O102" s="83"/>
    </row>
    <row r="103" spans="15:15" x14ac:dyDescent="0.25">
      <c r="O103" s="83"/>
    </row>
    <row r="104" spans="15:15" x14ac:dyDescent="0.25">
      <c r="O104" s="83"/>
    </row>
    <row r="105" spans="15:15" x14ac:dyDescent="0.25">
      <c r="O105" s="83"/>
    </row>
    <row r="106" spans="15:15" x14ac:dyDescent="0.25">
      <c r="O106" s="83"/>
    </row>
    <row r="107" spans="15:15" x14ac:dyDescent="0.25">
      <c r="O107" s="83"/>
    </row>
    <row r="108" spans="15:15" x14ac:dyDescent="0.25">
      <c r="O108" s="83"/>
    </row>
    <row r="109" spans="15:15" x14ac:dyDescent="0.25">
      <c r="O109" s="83"/>
    </row>
    <row r="110" spans="15:15" x14ac:dyDescent="0.25">
      <c r="O110" s="83"/>
    </row>
    <row r="111" spans="15:15" x14ac:dyDescent="0.25">
      <c r="O111" s="83"/>
    </row>
    <row r="112" spans="15:15" x14ac:dyDescent="0.25">
      <c r="O112" s="83"/>
    </row>
    <row r="113" spans="15:15" x14ac:dyDescent="0.25">
      <c r="O113" s="83"/>
    </row>
    <row r="114" spans="15:15" x14ac:dyDescent="0.25">
      <c r="O114" s="83"/>
    </row>
    <row r="115" spans="15:15" x14ac:dyDescent="0.25">
      <c r="O115" s="83"/>
    </row>
    <row r="116" spans="15:15" x14ac:dyDescent="0.25">
      <c r="O116" s="83"/>
    </row>
    <row r="117" spans="15:15" x14ac:dyDescent="0.25">
      <c r="O117" s="83"/>
    </row>
    <row r="118" spans="15:15" x14ac:dyDescent="0.25">
      <c r="O118" s="83"/>
    </row>
    <row r="119" spans="15:15" x14ac:dyDescent="0.25">
      <c r="O119" s="83"/>
    </row>
    <row r="120" spans="15:15" x14ac:dyDescent="0.25">
      <c r="O120" s="83"/>
    </row>
    <row r="121" spans="15:15" x14ac:dyDescent="0.25">
      <c r="O121" s="83"/>
    </row>
    <row r="122" spans="15:15" x14ac:dyDescent="0.25">
      <c r="O122" s="83"/>
    </row>
    <row r="123" spans="15:15" x14ac:dyDescent="0.25">
      <c r="O123" s="83"/>
    </row>
    <row r="124" spans="15:15" x14ac:dyDescent="0.25">
      <c r="O124" s="83"/>
    </row>
  </sheetData>
  <autoFilter ref="A7:AG71"/>
  <mergeCells count="18">
    <mergeCell ref="J32:O32"/>
    <mergeCell ref="P32:U32"/>
    <mergeCell ref="D53:I53"/>
    <mergeCell ref="J53:M53"/>
    <mergeCell ref="D32:I32"/>
    <mergeCell ref="V5:AA5"/>
    <mergeCell ref="A5:A6"/>
    <mergeCell ref="B5:B6"/>
    <mergeCell ref="C5:C6"/>
    <mergeCell ref="D5:I5"/>
    <mergeCell ref="J5:O5"/>
    <mergeCell ref="P5:U5"/>
    <mergeCell ref="D2:I2"/>
    <mergeCell ref="J2:O2"/>
    <mergeCell ref="P2:U2"/>
    <mergeCell ref="V2:AA2"/>
    <mergeCell ref="D4:I4"/>
    <mergeCell ref="V4:AA4"/>
  </mergeCells>
  <pageMargins left="0.7" right="0.7" top="0.75" bottom="0.75" header="0.3" footer="0.3"/>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election activeCell="L22" sqref="L22"/>
    </sheetView>
  </sheetViews>
  <sheetFormatPr defaultRowHeight="12" x14ac:dyDescent="0.25"/>
  <cols>
    <col min="1" max="1" width="11.140625" style="199" bestFit="1" customWidth="1"/>
    <col min="2" max="2" width="11.140625" style="199" customWidth="1"/>
    <col min="3" max="5" width="9.42578125" style="199" customWidth="1"/>
    <col min="6" max="6" width="9.42578125" style="200" customWidth="1"/>
    <col min="7" max="9" width="9.42578125" style="199" customWidth="1"/>
    <col min="10" max="10" width="9.42578125" style="200" customWidth="1"/>
    <col min="11" max="11" width="3" style="199" customWidth="1"/>
    <col min="12" max="15" width="8" style="199" customWidth="1"/>
    <col min="16" max="16" width="6.42578125" style="199" customWidth="1"/>
    <col min="17" max="21" width="8" style="199" customWidth="1"/>
    <col min="22" max="16384" width="9.140625" style="199"/>
  </cols>
  <sheetData>
    <row r="1" spans="1:20" ht="14.4" x14ac:dyDescent="0.25">
      <c r="A1" s="198" t="s">
        <v>94</v>
      </c>
      <c r="B1" s="198"/>
    </row>
    <row r="2" spans="1:20" s="201" customFormat="1" x14ac:dyDescent="0.25">
      <c r="A2" s="201" t="s">
        <v>95</v>
      </c>
      <c r="B2" s="202" t="s">
        <v>96</v>
      </c>
      <c r="E2" s="200"/>
      <c r="I2" s="200"/>
    </row>
    <row r="3" spans="1:20" x14ac:dyDescent="0.25">
      <c r="B3" s="203" t="s">
        <v>97</v>
      </c>
      <c r="E3" s="200"/>
      <c r="F3" s="199"/>
      <c r="I3" s="200"/>
      <c r="J3" s="199"/>
    </row>
    <row r="4" spans="1:20" ht="37.200000000000003" customHeight="1" x14ac:dyDescent="0.25">
      <c r="A4" s="204" t="s">
        <v>98</v>
      </c>
      <c r="B4" s="355" t="s">
        <v>99</v>
      </c>
      <c r="C4" s="355"/>
      <c r="D4" s="355"/>
      <c r="E4" s="355"/>
      <c r="F4" s="355"/>
      <c r="G4" s="355"/>
      <c r="H4" s="355"/>
      <c r="I4" s="355"/>
      <c r="J4" s="355"/>
      <c r="K4" s="205"/>
      <c r="L4" s="205"/>
      <c r="M4" s="205"/>
      <c r="N4" s="205"/>
      <c r="O4" s="205"/>
      <c r="P4" s="205"/>
      <c r="Q4" s="205"/>
      <c r="R4" s="205"/>
      <c r="S4" s="205"/>
      <c r="T4" s="205"/>
    </row>
    <row r="5" spans="1:20" s="206" customFormat="1" x14ac:dyDescent="0.25">
      <c r="A5" s="291"/>
      <c r="B5" s="291"/>
      <c r="C5" s="356" t="s">
        <v>100</v>
      </c>
      <c r="D5" s="356"/>
      <c r="E5" s="356"/>
      <c r="F5" s="293"/>
      <c r="G5" s="357" t="s">
        <v>101</v>
      </c>
      <c r="H5" s="357"/>
      <c r="I5" s="357"/>
      <c r="J5" s="294"/>
    </row>
    <row r="6" spans="1:20" s="298" customFormat="1" x14ac:dyDescent="0.25">
      <c r="A6" s="296"/>
      <c r="B6" s="296"/>
      <c r="C6" s="297" t="s">
        <v>14</v>
      </c>
      <c r="D6" s="296" t="s">
        <v>17</v>
      </c>
      <c r="E6" s="296" t="s">
        <v>23</v>
      </c>
      <c r="F6" s="295" t="s">
        <v>57</v>
      </c>
      <c r="G6" s="297" t="s">
        <v>14</v>
      </c>
      <c r="H6" s="296" t="s">
        <v>17</v>
      </c>
      <c r="I6" s="296" t="s">
        <v>23</v>
      </c>
      <c r="J6" s="295" t="s">
        <v>57</v>
      </c>
    </row>
    <row r="7" spans="1:20" x14ac:dyDescent="0.25">
      <c r="A7" s="207">
        <v>1991</v>
      </c>
      <c r="B7" s="208" t="s">
        <v>102</v>
      </c>
      <c r="C7" s="209">
        <v>49.449234008789063</v>
      </c>
      <c r="D7" s="209">
        <v>13.650976181030273</v>
      </c>
      <c r="E7" s="209">
        <v>36.899787902832031</v>
      </c>
      <c r="F7" s="210">
        <v>99.999998092651367</v>
      </c>
      <c r="G7" s="209">
        <v>44.925323486328125</v>
      </c>
      <c r="H7" s="209">
        <v>15.034738540649414</v>
      </c>
      <c r="I7" s="209">
        <v>40.039932250976562</v>
      </c>
      <c r="J7" s="290">
        <f>SUM(G7:I7)</f>
        <v>99.999994277954102</v>
      </c>
    </row>
    <row r="8" spans="1:20" x14ac:dyDescent="0.25">
      <c r="A8" s="207">
        <v>2000</v>
      </c>
      <c r="B8" s="208" t="s">
        <v>102</v>
      </c>
      <c r="C8" s="209">
        <v>52.175685882568359</v>
      </c>
      <c r="D8" s="209">
        <v>11.522912979125977</v>
      </c>
      <c r="E8" s="209">
        <v>36.301399230957031</v>
      </c>
      <c r="F8" s="210">
        <v>99.999998092651367</v>
      </c>
      <c r="G8" s="209">
        <v>42.947479248046875</v>
      </c>
      <c r="H8" s="209">
        <v>11.393003463745117</v>
      </c>
      <c r="I8" s="209">
        <v>45.659511566162109</v>
      </c>
      <c r="J8" s="290">
        <f t="shared" ref="J8:J11" si="0">SUM(G8:I8)</f>
        <v>99.999994277954102</v>
      </c>
    </row>
    <row r="9" spans="1:20" x14ac:dyDescent="0.25">
      <c r="A9" s="207">
        <v>2005</v>
      </c>
      <c r="B9" s="208" t="s">
        <v>102</v>
      </c>
      <c r="C9" s="209">
        <v>49.724945068359375</v>
      </c>
      <c r="D9" s="209">
        <v>11.825096130371094</v>
      </c>
      <c r="E9" s="209">
        <v>38.449951171875</v>
      </c>
      <c r="F9" s="210">
        <v>99.999992370605469</v>
      </c>
      <c r="G9" s="209">
        <v>39.078357696533203</v>
      </c>
      <c r="H9" s="209">
        <v>11.304802894592285</v>
      </c>
      <c r="I9" s="209">
        <v>49.616836547851563</v>
      </c>
      <c r="J9" s="290">
        <f t="shared" si="0"/>
        <v>99.999997138977051</v>
      </c>
    </row>
    <row r="10" spans="1:20" x14ac:dyDescent="0.25">
      <c r="A10" s="207">
        <v>2010</v>
      </c>
      <c r="B10" s="208" t="s">
        <v>102</v>
      </c>
      <c r="C10" s="209">
        <v>46.776668548583984</v>
      </c>
      <c r="D10" s="209">
        <v>12.485562324523926</v>
      </c>
      <c r="E10" s="209">
        <v>40.737762451171875</v>
      </c>
      <c r="F10" s="210">
        <v>99.999993324279785</v>
      </c>
      <c r="G10" s="209">
        <v>34.992546081542969</v>
      </c>
      <c r="H10" s="209">
        <v>11.518299102783203</v>
      </c>
      <c r="I10" s="209">
        <v>53.489154815673828</v>
      </c>
      <c r="J10" s="290">
        <f t="shared" si="0"/>
        <v>100</v>
      </c>
    </row>
    <row r="11" spans="1:20" x14ac:dyDescent="0.25">
      <c r="A11" s="207">
        <v>2012</v>
      </c>
      <c r="B11" s="208" t="s">
        <v>102</v>
      </c>
      <c r="C11" s="209">
        <v>45.45745849609375</v>
      </c>
      <c r="D11" s="209">
        <v>12.695083618164063</v>
      </c>
      <c r="E11" s="209">
        <v>41.847454071044922</v>
      </c>
      <c r="F11" s="210">
        <v>99.999996185302734</v>
      </c>
      <c r="G11" s="209">
        <v>33.465396881103516</v>
      </c>
      <c r="H11" s="209">
        <v>11.638816833496094</v>
      </c>
      <c r="I11" s="209">
        <v>54.895786285400391</v>
      </c>
      <c r="J11" s="290">
        <f t="shared" si="0"/>
        <v>100</v>
      </c>
    </row>
  </sheetData>
  <mergeCells count="3">
    <mergeCell ref="B4:J4"/>
    <mergeCell ref="C5:E5"/>
    <mergeCell ref="G5:I5"/>
  </mergeCells>
  <hyperlinks>
    <hyperlink ref="B3" r:id="rId1"/>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election activeCell="F7" sqref="F7"/>
    </sheetView>
  </sheetViews>
  <sheetFormatPr defaultRowHeight="12" x14ac:dyDescent="0.25"/>
  <cols>
    <col min="1" max="1" width="14.85546875" customWidth="1"/>
  </cols>
  <sheetData>
    <row r="1" spans="1:5" ht="14.4" x14ac:dyDescent="0.3">
      <c r="A1" s="212" t="s">
        <v>103</v>
      </c>
    </row>
    <row r="2" spans="1:5" s="213" customFormat="1" x14ac:dyDescent="0.25">
      <c r="A2" s="213" t="s">
        <v>95</v>
      </c>
      <c r="B2" s="213" t="s">
        <v>104</v>
      </c>
      <c r="E2" s="214" t="s">
        <v>105</v>
      </c>
    </row>
    <row r="4" spans="1:5" s="215" customFormat="1" x14ac:dyDescent="0.25">
      <c r="A4" s="300"/>
      <c r="B4" s="300" t="s">
        <v>106</v>
      </c>
      <c r="C4" s="301" t="s">
        <v>12</v>
      </c>
      <c r="D4" s="301" t="s">
        <v>108</v>
      </c>
    </row>
    <row r="5" spans="1:5" x14ac:dyDescent="0.25">
      <c r="A5" s="299" t="s">
        <v>101</v>
      </c>
      <c r="B5" s="234">
        <v>21.7</v>
      </c>
      <c r="C5" s="234">
        <v>20.8</v>
      </c>
      <c r="D5" s="234">
        <v>24</v>
      </c>
    </row>
    <row r="6" spans="1:5" x14ac:dyDescent="0.25">
      <c r="A6" s="234" t="s">
        <v>100</v>
      </c>
      <c r="B6" s="234">
        <v>43.2</v>
      </c>
      <c r="C6" s="234">
        <v>39.200000000000003</v>
      </c>
      <c r="D6" s="234">
        <v>39.9</v>
      </c>
    </row>
    <row r="7" spans="1:5" x14ac:dyDescent="0.25">
      <c r="A7" s="234" t="s">
        <v>107</v>
      </c>
      <c r="B7" s="234">
        <v>32.5</v>
      </c>
      <c r="C7" s="234">
        <v>30</v>
      </c>
      <c r="D7" s="234">
        <v>32</v>
      </c>
    </row>
  </sheetData>
  <hyperlinks>
    <hyperlink ref="E2" r:id="rId1"/>
  </hyperlinks>
  <pageMargins left="0.7" right="0.7" top="0.75" bottom="0.75" header="0.3" footer="0.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showGridLines="0" workbookViewId="0">
      <pane ySplit="7" topLeftCell="A8" activePane="bottomLeft" state="frozen"/>
      <selection pane="bottomLeft" activeCell="A8" sqref="A8"/>
    </sheetView>
  </sheetViews>
  <sheetFormatPr defaultRowHeight="12" x14ac:dyDescent="0.25"/>
  <cols>
    <col min="1" max="1" width="9.140625" style="226"/>
    <col min="2" max="2" width="44.7109375" customWidth="1"/>
    <col min="3" max="9" width="6.140625" customWidth="1"/>
    <col min="10" max="10" width="3.5703125" customWidth="1"/>
    <col min="11" max="11" width="19.85546875" customWidth="1"/>
  </cols>
  <sheetData>
    <row r="1" spans="1:15" ht="14.4" x14ac:dyDescent="0.3">
      <c r="A1" s="302" t="s">
        <v>260</v>
      </c>
      <c r="B1" s="302"/>
    </row>
    <row r="2" spans="1:15" s="213" customFormat="1" x14ac:dyDescent="0.25">
      <c r="A2" s="303" t="s">
        <v>95</v>
      </c>
      <c r="B2" s="304" t="s">
        <v>237</v>
      </c>
    </row>
    <row r="3" spans="1:15" s="213" customFormat="1" x14ac:dyDescent="0.25">
      <c r="A3" s="303"/>
      <c r="B3" s="306" t="s">
        <v>236</v>
      </c>
    </row>
    <row r="4" spans="1:15" s="213" customFormat="1" x14ac:dyDescent="0.25">
      <c r="A4" s="303"/>
      <c r="B4" s="305" t="s">
        <v>261</v>
      </c>
    </row>
    <row r="5" spans="1:15" ht="14.4" x14ac:dyDescent="0.3">
      <c r="A5" s="237" t="s">
        <v>102</v>
      </c>
      <c r="B5" s="236"/>
    </row>
    <row r="6" spans="1:15" x14ac:dyDescent="0.25">
      <c r="A6" s="307" t="s">
        <v>235</v>
      </c>
      <c r="B6" s="308" t="s">
        <v>234</v>
      </c>
      <c r="C6" s="309">
        <v>1983</v>
      </c>
      <c r="D6" s="309">
        <v>1984</v>
      </c>
      <c r="E6" s="309">
        <v>1985</v>
      </c>
      <c r="F6" s="309">
        <v>1993</v>
      </c>
      <c r="G6" s="309">
        <v>1994</v>
      </c>
      <c r="H6" s="309">
        <v>1995</v>
      </c>
      <c r="I6" s="309">
        <v>1997</v>
      </c>
    </row>
    <row r="7" spans="1:15" x14ac:dyDescent="0.25">
      <c r="A7" s="310"/>
      <c r="B7" s="311"/>
      <c r="C7" s="311"/>
      <c r="D7" s="311"/>
      <c r="E7" s="311"/>
      <c r="F7" s="311"/>
      <c r="G7" s="311"/>
      <c r="H7" s="311"/>
      <c r="I7" s="311"/>
    </row>
    <row r="8" spans="1:15" x14ac:dyDescent="0.25">
      <c r="A8" s="232">
        <v>1</v>
      </c>
      <c r="B8" s="231" t="s">
        <v>233</v>
      </c>
      <c r="C8" s="230"/>
      <c r="D8" s="230"/>
      <c r="E8" s="230"/>
      <c r="F8" s="230"/>
      <c r="G8" s="230"/>
      <c r="H8" s="230">
        <v>56</v>
      </c>
      <c r="I8" s="230">
        <v>78</v>
      </c>
      <c r="K8" s="262"/>
      <c r="L8" s="300">
        <v>1985</v>
      </c>
      <c r="M8" s="235">
        <v>1993</v>
      </c>
      <c r="N8" s="235">
        <v>1994</v>
      </c>
      <c r="O8" s="235">
        <v>1995</v>
      </c>
    </row>
    <row r="9" spans="1:15" x14ac:dyDescent="0.25">
      <c r="A9" s="232">
        <v>2</v>
      </c>
      <c r="B9" s="231" t="s">
        <v>232</v>
      </c>
      <c r="C9" s="230"/>
      <c r="D9" s="230"/>
      <c r="E9" s="230"/>
      <c r="F9" s="230"/>
      <c r="G9" s="230"/>
      <c r="H9" s="230">
        <v>53</v>
      </c>
      <c r="I9" s="230">
        <v>47</v>
      </c>
      <c r="K9" s="234" t="s">
        <v>231</v>
      </c>
      <c r="L9" s="233">
        <f>+E10/E$143</f>
        <v>1.0296296296296297</v>
      </c>
      <c r="M9" s="233">
        <f>+F10/F$143</f>
        <v>0.38271604938271603</v>
      </c>
      <c r="N9" s="233">
        <f>+G10/G$143</f>
        <v>0.46236559139784944</v>
      </c>
      <c r="O9" s="233">
        <f>+H10/H$143</f>
        <v>0.67567567567567566</v>
      </c>
    </row>
    <row r="10" spans="1:15" x14ac:dyDescent="0.25">
      <c r="A10" s="232">
        <v>3</v>
      </c>
      <c r="B10" s="231" t="s">
        <v>231</v>
      </c>
      <c r="C10" s="230"/>
      <c r="D10" s="230"/>
      <c r="E10" s="230">
        <v>278</v>
      </c>
      <c r="F10" s="230">
        <v>31</v>
      </c>
      <c r="G10" s="230">
        <v>43</v>
      </c>
      <c r="H10" s="230">
        <v>75</v>
      </c>
      <c r="I10" s="230" t="s">
        <v>123</v>
      </c>
      <c r="K10" s="234" t="s">
        <v>169</v>
      </c>
      <c r="L10" s="233">
        <f>+E28/E$143</f>
        <v>0.44444444444444442</v>
      </c>
      <c r="M10" s="233">
        <f>+F28/F$143</f>
        <v>0.43209876543209874</v>
      </c>
      <c r="N10" s="233">
        <f>+G28/G$143</f>
        <v>0.58064516129032262</v>
      </c>
      <c r="O10" s="233"/>
    </row>
    <row r="11" spans="1:15" x14ac:dyDescent="0.25">
      <c r="A11" s="232">
        <v>4</v>
      </c>
      <c r="B11" s="231" t="s">
        <v>230</v>
      </c>
      <c r="C11" s="230"/>
      <c r="D11" s="230"/>
      <c r="E11" s="230">
        <v>111</v>
      </c>
      <c r="F11" s="230">
        <v>16</v>
      </c>
      <c r="G11" s="230">
        <v>23</v>
      </c>
      <c r="H11" s="230">
        <v>67</v>
      </c>
      <c r="I11" s="230" t="s">
        <v>123</v>
      </c>
      <c r="K11" s="234" t="s">
        <v>132</v>
      </c>
      <c r="L11" s="233">
        <f>+E125/E$143</f>
        <v>1.7370370370370369</v>
      </c>
      <c r="M11" s="233">
        <f>+F125/F$143</f>
        <v>3.5925925925925926</v>
      </c>
      <c r="N11" s="233">
        <f>+G125/G$143</f>
        <v>3.3870967741935485</v>
      </c>
      <c r="O11" s="233"/>
    </row>
    <row r="12" spans="1:15" x14ac:dyDescent="0.25">
      <c r="A12" s="232">
        <v>5</v>
      </c>
      <c r="B12" s="231" t="s">
        <v>229</v>
      </c>
      <c r="C12" s="230"/>
      <c r="D12" s="230"/>
      <c r="E12" s="230">
        <v>188</v>
      </c>
      <c r="F12" s="230"/>
      <c r="G12" s="230"/>
      <c r="H12" s="230"/>
      <c r="I12" s="230" t="s">
        <v>123</v>
      </c>
      <c r="K12" s="234" t="s">
        <v>115</v>
      </c>
      <c r="L12" s="233"/>
      <c r="M12" s="233">
        <f>+F141/F$143</f>
        <v>0.93827160493827155</v>
      </c>
      <c r="N12" s="233">
        <f>+G141/G$143</f>
        <v>0.91397849462365588</v>
      </c>
      <c r="O12" s="233">
        <f>+H141/H$143</f>
        <v>2.1711711711711712</v>
      </c>
    </row>
    <row r="13" spans="1:15" x14ac:dyDescent="0.25">
      <c r="A13" s="232">
        <v>6</v>
      </c>
      <c r="B13" s="231" t="s">
        <v>228</v>
      </c>
      <c r="C13" s="230"/>
      <c r="D13" s="230"/>
      <c r="E13" s="230">
        <v>129</v>
      </c>
      <c r="F13" s="230"/>
      <c r="G13" s="230"/>
      <c r="H13" s="230"/>
      <c r="I13" s="230" t="s">
        <v>123</v>
      </c>
    </row>
    <row r="14" spans="1:15" x14ac:dyDescent="0.25">
      <c r="A14" s="232">
        <v>9</v>
      </c>
      <c r="B14" s="231" t="s">
        <v>227</v>
      </c>
      <c r="C14" s="230">
        <v>268</v>
      </c>
      <c r="D14" s="230"/>
      <c r="E14" s="230"/>
      <c r="F14" s="230"/>
      <c r="G14" s="230"/>
      <c r="H14" s="230">
        <v>78</v>
      </c>
      <c r="I14" s="230" t="s">
        <v>123</v>
      </c>
    </row>
    <row r="15" spans="1:15" x14ac:dyDescent="0.25">
      <c r="A15" s="232">
        <v>10</v>
      </c>
      <c r="B15" s="231" t="s">
        <v>226</v>
      </c>
      <c r="C15" s="230"/>
      <c r="D15" s="230"/>
      <c r="E15" s="230"/>
      <c r="F15" s="230"/>
      <c r="G15" s="230"/>
      <c r="H15" s="230">
        <v>69</v>
      </c>
      <c r="I15" s="230">
        <v>85</v>
      </c>
    </row>
    <row r="16" spans="1:15" x14ac:dyDescent="0.25">
      <c r="A16" s="232">
        <v>15</v>
      </c>
      <c r="B16" s="231" t="s">
        <v>225</v>
      </c>
      <c r="C16" s="230"/>
      <c r="D16" s="230"/>
      <c r="E16" s="230">
        <v>938</v>
      </c>
      <c r="F16" s="230"/>
      <c r="G16" s="230"/>
      <c r="H16" s="230"/>
      <c r="I16" s="230" t="s">
        <v>123</v>
      </c>
    </row>
    <row r="17" spans="1:9" x14ac:dyDescent="0.25">
      <c r="A17" s="232">
        <v>16</v>
      </c>
      <c r="B17" s="231" t="s">
        <v>194</v>
      </c>
      <c r="C17" s="230"/>
      <c r="D17" s="230"/>
      <c r="E17" s="230">
        <v>2344</v>
      </c>
      <c r="F17" s="230"/>
      <c r="G17" s="230"/>
      <c r="H17" s="230"/>
      <c r="I17" s="230" t="s">
        <v>123</v>
      </c>
    </row>
    <row r="18" spans="1:9" x14ac:dyDescent="0.25">
      <c r="A18" s="232">
        <v>17</v>
      </c>
      <c r="B18" s="231" t="s">
        <v>224</v>
      </c>
      <c r="C18" s="230"/>
      <c r="D18" s="230"/>
      <c r="E18" s="230">
        <v>234</v>
      </c>
      <c r="F18" s="230"/>
      <c r="G18" s="230"/>
      <c r="H18" s="230"/>
      <c r="I18" s="230" t="s">
        <v>123</v>
      </c>
    </row>
    <row r="19" spans="1:9" x14ac:dyDescent="0.25">
      <c r="A19" s="232">
        <v>18</v>
      </c>
      <c r="B19" s="231" t="s">
        <v>223</v>
      </c>
      <c r="C19" s="230"/>
      <c r="D19" s="230"/>
      <c r="E19" s="230"/>
      <c r="F19" s="230"/>
      <c r="G19" s="230"/>
      <c r="H19" s="230">
        <v>34</v>
      </c>
      <c r="I19" s="230" t="s">
        <v>123</v>
      </c>
    </row>
    <row r="20" spans="1:9" x14ac:dyDescent="0.25">
      <c r="A20" s="232">
        <v>19</v>
      </c>
      <c r="B20" s="231" t="s">
        <v>222</v>
      </c>
      <c r="C20" s="230"/>
      <c r="D20" s="230"/>
      <c r="E20" s="230"/>
      <c r="F20" s="230"/>
      <c r="G20" s="230"/>
      <c r="H20" s="230">
        <v>110</v>
      </c>
      <c r="I20" s="230" t="s">
        <v>123</v>
      </c>
    </row>
    <row r="21" spans="1:9" x14ac:dyDescent="0.25">
      <c r="A21" s="232">
        <v>20</v>
      </c>
      <c r="B21" s="231" t="s">
        <v>221</v>
      </c>
      <c r="C21" s="230"/>
      <c r="D21" s="230"/>
      <c r="E21" s="230"/>
      <c r="F21" s="230"/>
      <c r="G21" s="230"/>
      <c r="H21" s="230">
        <v>46</v>
      </c>
      <c r="I21" s="230" t="s">
        <v>123</v>
      </c>
    </row>
    <row r="22" spans="1:9" x14ac:dyDescent="0.25">
      <c r="A22" s="232">
        <v>22</v>
      </c>
      <c r="B22" s="231" t="s">
        <v>220</v>
      </c>
      <c r="C22" s="230"/>
      <c r="D22" s="230"/>
      <c r="E22" s="230"/>
      <c r="F22" s="230"/>
      <c r="G22" s="230"/>
      <c r="H22" s="230">
        <v>40</v>
      </c>
      <c r="I22" s="230">
        <v>183</v>
      </c>
    </row>
    <row r="23" spans="1:9" x14ac:dyDescent="0.25">
      <c r="A23" s="232">
        <v>23</v>
      </c>
      <c r="B23" s="231" t="s">
        <v>219</v>
      </c>
      <c r="C23" s="230"/>
      <c r="D23" s="230"/>
      <c r="E23" s="230">
        <v>103</v>
      </c>
      <c r="F23" s="230"/>
      <c r="G23" s="230"/>
      <c r="H23" s="230">
        <v>18</v>
      </c>
      <c r="I23" s="230">
        <v>201</v>
      </c>
    </row>
    <row r="24" spans="1:9" x14ac:dyDescent="0.25">
      <c r="A24" s="232">
        <v>24</v>
      </c>
      <c r="B24" s="231" t="s">
        <v>218</v>
      </c>
      <c r="C24" s="230"/>
      <c r="D24" s="230">
        <v>178</v>
      </c>
      <c r="E24" s="230">
        <v>107</v>
      </c>
      <c r="F24" s="230"/>
      <c r="G24" s="230"/>
      <c r="H24" s="230">
        <v>100</v>
      </c>
      <c r="I24" s="230">
        <v>92</v>
      </c>
    </row>
    <row r="25" spans="1:9" x14ac:dyDescent="0.25">
      <c r="A25" s="232">
        <v>25</v>
      </c>
      <c r="B25" s="231" t="s">
        <v>217</v>
      </c>
      <c r="C25" s="230"/>
      <c r="D25" s="230">
        <v>314</v>
      </c>
      <c r="E25" s="230">
        <v>107</v>
      </c>
      <c r="F25" s="230">
        <v>36</v>
      </c>
      <c r="G25" s="230">
        <v>58</v>
      </c>
      <c r="H25" s="230"/>
      <c r="I25" s="230" t="s">
        <v>123</v>
      </c>
    </row>
    <row r="26" spans="1:9" x14ac:dyDescent="0.25">
      <c r="A26" s="232">
        <v>26</v>
      </c>
      <c r="B26" s="231" t="s">
        <v>216</v>
      </c>
      <c r="C26" s="230"/>
      <c r="D26" s="230">
        <v>294</v>
      </c>
      <c r="E26" s="230">
        <v>139</v>
      </c>
      <c r="F26" s="230">
        <v>42</v>
      </c>
      <c r="G26" s="230">
        <v>67</v>
      </c>
      <c r="H26" s="230"/>
      <c r="I26" s="230">
        <v>209</v>
      </c>
    </row>
    <row r="27" spans="1:9" x14ac:dyDescent="0.25">
      <c r="A27" s="232">
        <v>27</v>
      </c>
      <c r="B27" s="231" t="s">
        <v>215</v>
      </c>
      <c r="C27" s="230"/>
      <c r="D27" s="230">
        <v>258</v>
      </c>
      <c r="E27" s="230">
        <v>130</v>
      </c>
      <c r="F27" s="230">
        <v>36</v>
      </c>
      <c r="G27" s="230">
        <v>59</v>
      </c>
      <c r="H27" s="230"/>
      <c r="I27" s="230">
        <v>228</v>
      </c>
    </row>
    <row r="28" spans="1:9" x14ac:dyDescent="0.25">
      <c r="A28" s="232">
        <v>28</v>
      </c>
      <c r="B28" s="231" t="s">
        <v>169</v>
      </c>
      <c r="C28" s="230"/>
      <c r="D28" s="230">
        <v>241</v>
      </c>
      <c r="E28" s="230">
        <v>120</v>
      </c>
      <c r="F28" s="230">
        <v>35</v>
      </c>
      <c r="G28" s="230">
        <v>54</v>
      </c>
      <c r="H28" s="230"/>
      <c r="I28" s="230">
        <v>213</v>
      </c>
    </row>
    <row r="29" spans="1:9" x14ac:dyDescent="0.25">
      <c r="A29" s="232">
        <v>29</v>
      </c>
      <c r="B29" s="231" t="s">
        <v>214</v>
      </c>
      <c r="C29" s="230"/>
      <c r="D29" s="230"/>
      <c r="E29" s="230"/>
      <c r="F29" s="230">
        <v>39</v>
      </c>
      <c r="G29" s="230">
        <v>62</v>
      </c>
      <c r="H29" s="230">
        <v>45</v>
      </c>
      <c r="I29" s="230">
        <v>119</v>
      </c>
    </row>
    <row r="30" spans="1:9" x14ac:dyDescent="0.25">
      <c r="A30" s="232">
        <v>30</v>
      </c>
      <c r="B30" s="231" t="s">
        <v>213</v>
      </c>
      <c r="C30" s="230"/>
      <c r="D30" s="230"/>
      <c r="E30" s="230"/>
      <c r="F30" s="230">
        <v>42</v>
      </c>
      <c r="G30" s="230">
        <v>67</v>
      </c>
      <c r="H30" s="230">
        <v>64</v>
      </c>
      <c r="I30" s="230">
        <v>112</v>
      </c>
    </row>
    <row r="31" spans="1:9" x14ac:dyDescent="0.25">
      <c r="A31" s="232">
        <v>33</v>
      </c>
      <c r="B31" s="231" t="s">
        <v>212</v>
      </c>
      <c r="C31" s="230"/>
      <c r="D31" s="230"/>
      <c r="E31" s="230">
        <v>232</v>
      </c>
      <c r="F31" s="230"/>
      <c r="G31" s="230"/>
      <c r="H31" s="230"/>
      <c r="I31" s="230">
        <v>46</v>
      </c>
    </row>
    <row r="32" spans="1:9" x14ac:dyDescent="0.25">
      <c r="A32" s="232">
        <v>34</v>
      </c>
      <c r="B32" s="231" t="s">
        <v>211</v>
      </c>
      <c r="C32" s="230"/>
      <c r="D32" s="230"/>
      <c r="E32" s="230">
        <v>262</v>
      </c>
      <c r="F32" s="230"/>
      <c r="G32" s="230"/>
      <c r="H32" s="230"/>
      <c r="I32" s="230">
        <v>46</v>
      </c>
    </row>
    <row r="33" spans="1:9" x14ac:dyDescent="0.25">
      <c r="A33" s="232">
        <v>35</v>
      </c>
      <c r="B33" s="231" t="s">
        <v>210</v>
      </c>
      <c r="C33" s="230"/>
      <c r="D33" s="230"/>
      <c r="E33" s="230">
        <v>232</v>
      </c>
      <c r="F33" s="230"/>
      <c r="G33" s="230"/>
      <c r="H33" s="230"/>
      <c r="I33" s="230">
        <v>91</v>
      </c>
    </row>
    <row r="34" spans="1:9" x14ac:dyDescent="0.25">
      <c r="A34" s="232">
        <v>36</v>
      </c>
      <c r="B34" s="231" t="s">
        <v>209</v>
      </c>
      <c r="C34" s="230"/>
      <c r="D34" s="230"/>
      <c r="E34" s="230"/>
      <c r="F34" s="230"/>
      <c r="G34" s="230"/>
      <c r="H34" s="230">
        <v>119</v>
      </c>
      <c r="I34" s="230">
        <v>93</v>
      </c>
    </row>
    <row r="35" spans="1:9" x14ac:dyDescent="0.25">
      <c r="A35" s="232">
        <v>37</v>
      </c>
      <c r="B35" s="231" t="s">
        <v>208</v>
      </c>
      <c r="C35" s="230"/>
      <c r="D35" s="230"/>
      <c r="E35" s="230"/>
      <c r="F35" s="230"/>
      <c r="G35" s="230"/>
      <c r="H35" s="230">
        <v>48</v>
      </c>
      <c r="I35" s="230">
        <v>102</v>
      </c>
    </row>
    <row r="36" spans="1:9" x14ac:dyDescent="0.25">
      <c r="A36" s="232">
        <v>38</v>
      </c>
      <c r="B36" s="231" t="s">
        <v>207</v>
      </c>
      <c r="C36" s="230"/>
      <c r="D36" s="230"/>
      <c r="E36" s="230"/>
      <c r="F36" s="230"/>
      <c r="G36" s="230"/>
      <c r="H36" s="230">
        <v>136</v>
      </c>
      <c r="I36" s="230">
        <v>73</v>
      </c>
    </row>
    <row r="37" spans="1:9" x14ac:dyDescent="0.25">
      <c r="A37" s="232">
        <v>39</v>
      </c>
      <c r="B37" s="231" t="s">
        <v>206</v>
      </c>
      <c r="C37" s="230"/>
      <c r="D37" s="230">
        <v>185</v>
      </c>
      <c r="E37" s="230">
        <v>156</v>
      </c>
      <c r="F37" s="230"/>
      <c r="G37" s="230"/>
      <c r="H37" s="230">
        <v>128</v>
      </c>
      <c r="I37" s="230">
        <v>166</v>
      </c>
    </row>
    <row r="38" spans="1:9" x14ac:dyDescent="0.25">
      <c r="A38" s="232">
        <v>40</v>
      </c>
      <c r="B38" s="231" t="s">
        <v>205</v>
      </c>
      <c r="C38" s="230"/>
      <c r="D38" s="230">
        <v>219</v>
      </c>
      <c r="E38" s="230">
        <v>123</v>
      </c>
      <c r="F38" s="230"/>
      <c r="G38" s="230"/>
      <c r="H38" s="230">
        <v>102</v>
      </c>
      <c r="I38" s="230">
        <v>213</v>
      </c>
    </row>
    <row r="39" spans="1:9" x14ac:dyDescent="0.25">
      <c r="A39" s="232">
        <v>41</v>
      </c>
      <c r="B39" s="231" t="s">
        <v>204</v>
      </c>
      <c r="C39" s="230"/>
      <c r="D39" s="230">
        <v>197</v>
      </c>
      <c r="E39" s="230">
        <v>145</v>
      </c>
      <c r="F39" s="230"/>
      <c r="G39" s="230"/>
      <c r="H39" s="230">
        <v>115</v>
      </c>
      <c r="I39" s="230">
        <v>125</v>
      </c>
    </row>
    <row r="40" spans="1:9" x14ac:dyDescent="0.25">
      <c r="A40" s="232">
        <v>42</v>
      </c>
      <c r="B40" s="231" t="s">
        <v>203</v>
      </c>
      <c r="C40" s="230"/>
      <c r="D40" s="230"/>
      <c r="E40" s="230">
        <v>155</v>
      </c>
      <c r="F40" s="230">
        <v>29</v>
      </c>
      <c r="G40" s="230">
        <v>37</v>
      </c>
      <c r="H40" s="230"/>
      <c r="I40" s="230">
        <v>114</v>
      </c>
    </row>
    <row r="41" spans="1:9" x14ac:dyDescent="0.25">
      <c r="A41" s="232">
        <v>43</v>
      </c>
      <c r="B41" s="231" t="s">
        <v>202</v>
      </c>
      <c r="C41" s="230"/>
      <c r="D41" s="230"/>
      <c r="E41" s="230">
        <v>157</v>
      </c>
      <c r="F41" s="230">
        <v>29</v>
      </c>
      <c r="G41" s="230">
        <v>37</v>
      </c>
      <c r="H41" s="230"/>
      <c r="I41" s="230">
        <v>151</v>
      </c>
    </row>
    <row r="42" spans="1:9" x14ac:dyDescent="0.25">
      <c r="A42" s="232">
        <v>44</v>
      </c>
      <c r="B42" s="231" t="s">
        <v>201</v>
      </c>
      <c r="C42" s="230">
        <v>343</v>
      </c>
      <c r="D42" s="230"/>
      <c r="E42" s="230"/>
      <c r="F42" s="230"/>
      <c r="G42" s="230"/>
      <c r="H42" s="230">
        <v>88</v>
      </c>
      <c r="I42" s="230" t="s">
        <v>123</v>
      </c>
    </row>
    <row r="43" spans="1:9" x14ac:dyDescent="0.25">
      <c r="A43" s="232">
        <v>45</v>
      </c>
      <c r="B43" s="231" t="s">
        <v>131</v>
      </c>
      <c r="C43" s="230">
        <v>282</v>
      </c>
      <c r="D43" s="230"/>
      <c r="E43" s="230">
        <v>161</v>
      </c>
      <c r="F43" s="230"/>
      <c r="G43" s="230"/>
      <c r="H43" s="230">
        <v>58</v>
      </c>
      <c r="I43" s="230">
        <v>149</v>
      </c>
    </row>
    <row r="44" spans="1:9" x14ac:dyDescent="0.25">
      <c r="A44" s="232">
        <v>46</v>
      </c>
      <c r="B44" s="231" t="s">
        <v>127</v>
      </c>
      <c r="C44" s="230">
        <v>239</v>
      </c>
      <c r="D44" s="230"/>
      <c r="E44" s="230">
        <v>180</v>
      </c>
      <c r="F44" s="230"/>
      <c r="G44" s="230"/>
      <c r="H44" s="230">
        <v>57</v>
      </c>
      <c r="I44" s="230">
        <v>153</v>
      </c>
    </row>
    <row r="45" spans="1:9" x14ac:dyDescent="0.25">
      <c r="A45" s="232">
        <v>47</v>
      </c>
      <c r="B45" s="231" t="s">
        <v>200</v>
      </c>
      <c r="C45" s="230"/>
      <c r="D45" s="230">
        <v>260</v>
      </c>
      <c r="E45" s="230">
        <v>750</v>
      </c>
      <c r="F45" s="230"/>
      <c r="G45" s="230"/>
      <c r="H45" s="230">
        <v>134</v>
      </c>
      <c r="I45" s="230">
        <v>146</v>
      </c>
    </row>
    <row r="46" spans="1:9" x14ac:dyDescent="0.25">
      <c r="A46" s="232">
        <v>48</v>
      </c>
      <c r="B46" s="231" t="s">
        <v>199</v>
      </c>
      <c r="C46" s="230"/>
      <c r="D46" s="230">
        <v>260</v>
      </c>
      <c r="E46" s="230">
        <v>214</v>
      </c>
      <c r="F46" s="230"/>
      <c r="G46" s="230"/>
      <c r="H46" s="230">
        <v>29</v>
      </c>
      <c r="I46" s="230">
        <v>144</v>
      </c>
    </row>
    <row r="47" spans="1:9" x14ac:dyDescent="0.25">
      <c r="A47" s="232">
        <v>49</v>
      </c>
      <c r="B47" s="231" t="s">
        <v>198</v>
      </c>
      <c r="C47" s="230"/>
      <c r="D47" s="230">
        <v>284</v>
      </c>
      <c r="E47" s="230">
        <v>124</v>
      </c>
      <c r="F47" s="230"/>
      <c r="G47" s="230"/>
      <c r="H47" s="230">
        <v>69</v>
      </c>
      <c r="I47" s="230">
        <v>123</v>
      </c>
    </row>
    <row r="48" spans="1:9" x14ac:dyDescent="0.25">
      <c r="A48" s="232">
        <v>50</v>
      </c>
      <c r="B48" s="231" t="s">
        <v>197</v>
      </c>
      <c r="C48" s="230"/>
      <c r="D48" s="230">
        <v>239</v>
      </c>
      <c r="E48" s="230">
        <v>161</v>
      </c>
      <c r="F48" s="230"/>
      <c r="G48" s="230"/>
      <c r="H48" s="230">
        <v>57</v>
      </c>
      <c r="I48" s="230">
        <v>133</v>
      </c>
    </row>
    <row r="49" spans="1:9" x14ac:dyDescent="0.25">
      <c r="A49" s="232">
        <v>51</v>
      </c>
      <c r="B49" s="231" t="s">
        <v>169</v>
      </c>
      <c r="C49" s="230"/>
      <c r="D49" s="230">
        <v>147</v>
      </c>
      <c r="E49" s="230">
        <v>113</v>
      </c>
      <c r="F49" s="230"/>
      <c r="G49" s="230"/>
      <c r="H49" s="230">
        <v>41</v>
      </c>
      <c r="I49" s="230">
        <v>135</v>
      </c>
    </row>
    <row r="50" spans="1:9" x14ac:dyDescent="0.25">
      <c r="A50" s="232">
        <v>52</v>
      </c>
      <c r="B50" s="231" t="s">
        <v>196</v>
      </c>
      <c r="C50" s="230">
        <v>991</v>
      </c>
      <c r="D50" s="230"/>
      <c r="E50" s="230"/>
      <c r="F50" s="230"/>
      <c r="G50" s="230"/>
      <c r="H50" s="230">
        <v>1470</v>
      </c>
      <c r="I50" s="230" t="s">
        <v>123</v>
      </c>
    </row>
    <row r="51" spans="1:9" x14ac:dyDescent="0.25">
      <c r="A51" s="232">
        <v>53</v>
      </c>
      <c r="B51" s="231" t="s">
        <v>195</v>
      </c>
      <c r="C51" s="230"/>
      <c r="D51" s="230">
        <v>424</v>
      </c>
      <c r="E51" s="230"/>
      <c r="F51" s="230"/>
      <c r="G51" s="230"/>
      <c r="H51" s="230"/>
      <c r="I51" s="230">
        <v>163</v>
      </c>
    </row>
    <row r="52" spans="1:9" x14ac:dyDescent="0.25">
      <c r="A52" s="232">
        <v>54</v>
      </c>
      <c r="B52" s="231" t="s">
        <v>194</v>
      </c>
      <c r="C52" s="230">
        <v>541</v>
      </c>
      <c r="D52" s="230"/>
      <c r="E52" s="230"/>
      <c r="F52" s="230"/>
      <c r="G52" s="230"/>
      <c r="H52" s="230">
        <v>268</v>
      </c>
      <c r="I52" s="230">
        <v>102</v>
      </c>
    </row>
    <row r="53" spans="1:9" x14ac:dyDescent="0.25">
      <c r="A53" s="232">
        <v>55</v>
      </c>
      <c r="B53" s="231" t="s">
        <v>193</v>
      </c>
      <c r="C53" s="230"/>
      <c r="D53" s="230">
        <v>484</v>
      </c>
      <c r="E53" s="230"/>
      <c r="F53" s="230"/>
      <c r="G53" s="230"/>
      <c r="H53" s="230"/>
      <c r="I53" s="230">
        <v>77</v>
      </c>
    </row>
    <row r="54" spans="1:9" x14ac:dyDescent="0.25">
      <c r="A54" s="232">
        <v>56</v>
      </c>
      <c r="B54" s="231" t="s">
        <v>169</v>
      </c>
      <c r="C54" s="230"/>
      <c r="D54" s="230">
        <v>310</v>
      </c>
      <c r="E54" s="230"/>
      <c r="F54" s="230"/>
      <c r="G54" s="230"/>
      <c r="H54" s="230">
        <v>31</v>
      </c>
      <c r="I54" s="230">
        <v>52</v>
      </c>
    </row>
    <row r="55" spans="1:9" x14ac:dyDescent="0.25">
      <c r="A55" s="232">
        <v>57</v>
      </c>
      <c r="B55" s="231" t="s">
        <v>193</v>
      </c>
      <c r="C55" s="230"/>
      <c r="D55" s="230">
        <v>484</v>
      </c>
      <c r="E55" s="230"/>
      <c r="F55" s="230"/>
      <c r="G55" s="230"/>
      <c r="H55" s="230"/>
      <c r="I55" s="230">
        <v>208</v>
      </c>
    </row>
    <row r="56" spans="1:9" x14ac:dyDescent="0.25">
      <c r="A56" s="232">
        <v>58</v>
      </c>
      <c r="B56" s="231" t="s">
        <v>192</v>
      </c>
      <c r="C56" s="230"/>
      <c r="D56" s="230"/>
      <c r="E56" s="230"/>
      <c r="F56" s="230"/>
      <c r="G56" s="230"/>
      <c r="H56" s="230"/>
      <c r="I56" s="230">
        <v>174</v>
      </c>
    </row>
    <row r="57" spans="1:9" x14ac:dyDescent="0.25">
      <c r="A57" s="232">
        <v>59</v>
      </c>
      <c r="B57" s="231" t="s">
        <v>169</v>
      </c>
      <c r="C57" s="230"/>
      <c r="D57" s="230">
        <v>310</v>
      </c>
      <c r="E57" s="230"/>
      <c r="F57" s="230"/>
      <c r="G57" s="230"/>
      <c r="H57" s="230"/>
      <c r="I57" s="230">
        <v>94</v>
      </c>
    </row>
    <row r="58" spans="1:9" x14ac:dyDescent="0.25">
      <c r="A58" s="232">
        <v>61</v>
      </c>
      <c r="B58" s="231" t="s">
        <v>191</v>
      </c>
      <c r="C58" s="230"/>
      <c r="D58" s="230"/>
      <c r="E58" s="230">
        <v>248</v>
      </c>
      <c r="F58" s="230"/>
      <c r="G58" s="230"/>
      <c r="H58" s="230"/>
      <c r="I58" s="230">
        <v>135</v>
      </c>
    </row>
    <row r="59" spans="1:9" x14ac:dyDescent="0.25">
      <c r="A59" s="232">
        <v>62</v>
      </c>
      <c r="B59" s="231" t="s">
        <v>190</v>
      </c>
      <c r="C59" s="230"/>
      <c r="D59" s="230"/>
      <c r="E59" s="230"/>
      <c r="F59" s="230"/>
      <c r="G59" s="230"/>
      <c r="H59" s="230">
        <v>90</v>
      </c>
      <c r="I59" s="230" t="s">
        <v>123</v>
      </c>
    </row>
    <row r="60" spans="1:9" x14ac:dyDescent="0.25">
      <c r="A60" s="232">
        <v>63</v>
      </c>
      <c r="B60" s="231" t="s">
        <v>189</v>
      </c>
      <c r="C60" s="230"/>
      <c r="D60" s="230"/>
      <c r="E60" s="230"/>
      <c r="F60" s="230">
        <v>39</v>
      </c>
      <c r="G60" s="230">
        <v>49</v>
      </c>
      <c r="H60" s="230">
        <v>90</v>
      </c>
      <c r="I60" s="230" t="s">
        <v>123</v>
      </c>
    </row>
    <row r="61" spans="1:9" x14ac:dyDescent="0.25">
      <c r="A61" s="232">
        <v>64</v>
      </c>
      <c r="B61" s="231" t="s">
        <v>188</v>
      </c>
      <c r="C61" s="230"/>
      <c r="D61" s="230"/>
      <c r="E61" s="230"/>
      <c r="F61" s="230">
        <v>39</v>
      </c>
      <c r="G61" s="230">
        <v>49</v>
      </c>
      <c r="H61" s="230">
        <v>90</v>
      </c>
      <c r="I61" s="230">
        <v>160</v>
      </c>
    </row>
    <row r="62" spans="1:9" x14ac:dyDescent="0.25">
      <c r="A62" s="232">
        <v>65</v>
      </c>
      <c r="B62" s="231" t="s">
        <v>169</v>
      </c>
      <c r="C62" s="230"/>
      <c r="D62" s="230"/>
      <c r="E62" s="230">
        <v>123</v>
      </c>
      <c r="F62" s="230">
        <v>34</v>
      </c>
      <c r="G62" s="230">
        <v>45</v>
      </c>
      <c r="H62" s="230">
        <v>71</v>
      </c>
      <c r="I62" s="230" t="s">
        <v>123</v>
      </c>
    </row>
    <row r="63" spans="1:9" x14ac:dyDescent="0.25">
      <c r="A63" s="232">
        <v>66</v>
      </c>
      <c r="B63" s="231" t="s">
        <v>187</v>
      </c>
      <c r="C63" s="230"/>
      <c r="D63" s="230"/>
      <c r="E63" s="230"/>
      <c r="F63" s="230">
        <v>39</v>
      </c>
      <c r="G63" s="230">
        <v>49</v>
      </c>
      <c r="H63" s="230"/>
      <c r="I63" s="230">
        <v>174</v>
      </c>
    </row>
    <row r="64" spans="1:9" x14ac:dyDescent="0.25">
      <c r="A64" s="232">
        <v>67</v>
      </c>
      <c r="B64" s="231" t="s">
        <v>186</v>
      </c>
      <c r="C64" s="230"/>
      <c r="D64" s="230"/>
      <c r="E64" s="230"/>
      <c r="F64" s="230">
        <v>39</v>
      </c>
      <c r="G64" s="230">
        <v>49</v>
      </c>
      <c r="H64" s="230">
        <v>78</v>
      </c>
      <c r="I64" s="230" t="s">
        <v>123</v>
      </c>
    </row>
    <row r="65" spans="1:9" x14ac:dyDescent="0.25">
      <c r="A65" s="232">
        <v>68</v>
      </c>
      <c r="B65" s="231" t="s">
        <v>185</v>
      </c>
      <c r="C65" s="230"/>
      <c r="D65" s="230">
        <v>390</v>
      </c>
      <c r="E65" s="230"/>
      <c r="F65" s="230">
        <v>49</v>
      </c>
      <c r="G65" s="230">
        <v>63</v>
      </c>
      <c r="H65" s="230"/>
      <c r="I65" s="230">
        <v>55</v>
      </c>
    </row>
    <row r="66" spans="1:9" x14ac:dyDescent="0.25">
      <c r="A66" s="232">
        <v>69</v>
      </c>
      <c r="B66" s="231" t="s">
        <v>184</v>
      </c>
      <c r="C66" s="230"/>
      <c r="D66" s="230">
        <v>375</v>
      </c>
      <c r="E66" s="230">
        <v>176</v>
      </c>
      <c r="F66" s="230">
        <v>39</v>
      </c>
      <c r="G66" s="230">
        <v>49</v>
      </c>
      <c r="H66" s="230">
        <v>258</v>
      </c>
      <c r="I66" s="230" t="s">
        <v>123</v>
      </c>
    </row>
    <row r="67" spans="1:9" x14ac:dyDescent="0.25">
      <c r="A67" s="232">
        <v>70</v>
      </c>
      <c r="B67" s="231" t="s">
        <v>169</v>
      </c>
      <c r="C67" s="230"/>
      <c r="D67" s="230">
        <v>306</v>
      </c>
      <c r="E67" s="230">
        <v>90</v>
      </c>
      <c r="F67" s="230">
        <v>34</v>
      </c>
      <c r="G67" s="230">
        <v>45</v>
      </c>
      <c r="H67" s="230">
        <v>73</v>
      </c>
      <c r="I67" s="230">
        <v>82</v>
      </c>
    </row>
    <row r="68" spans="1:9" x14ac:dyDescent="0.25">
      <c r="A68" s="232">
        <v>72</v>
      </c>
      <c r="B68" s="231" t="s">
        <v>183</v>
      </c>
      <c r="C68" s="230">
        <v>889</v>
      </c>
      <c r="D68" s="230"/>
      <c r="E68" s="230"/>
      <c r="F68" s="230"/>
      <c r="G68" s="230"/>
      <c r="H68" s="230"/>
      <c r="I68" s="230">
        <v>154</v>
      </c>
    </row>
    <row r="69" spans="1:9" x14ac:dyDescent="0.25">
      <c r="A69" s="232">
        <v>73</v>
      </c>
      <c r="B69" s="231" t="s">
        <v>182</v>
      </c>
      <c r="C69" s="230">
        <v>269</v>
      </c>
      <c r="D69" s="230"/>
      <c r="E69" s="230"/>
      <c r="F69" s="230"/>
      <c r="G69" s="230"/>
      <c r="H69" s="230"/>
      <c r="I69" s="230">
        <v>137</v>
      </c>
    </row>
    <row r="70" spans="1:9" x14ac:dyDescent="0.25">
      <c r="A70" s="232">
        <v>74</v>
      </c>
      <c r="B70" s="231" t="s">
        <v>181</v>
      </c>
      <c r="C70" s="230"/>
      <c r="D70" s="230"/>
      <c r="E70" s="230"/>
      <c r="F70" s="230">
        <v>33</v>
      </c>
      <c r="G70" s="230">
        <v>33</v>
      </c>
      <c r="H70" s="230"/>
      <c r="I70" s="230" t="s">
        <v>123</v>
      </c>
    </row>
    <row r="71" spans="1:9" x14ac:dyDescent="0.25">
      <c r="A71" s="232">
        <v>77</v>
      </c>
      <c r="B71" s="231" t="s">
        <v>127</v>
      </c>
      <c r="C71" s="230"/>
      <c r="D71" s="230"/>
      <c r="E71" s="230"/>
      <c r="F71" s="230">
        <v>33</v>
      </c>
      <c r="G71" s="230">
        <v>33</v>
      </c>
      <c r="H71" s="230"/>
      <c r="I71" s="230">
        <v>85</v>
      </c>
    </row>
    <row r="72" spans="1:9" x14ac:dyDescent="0.25">
      <c r="A72" s="232">
        <v>78</v>
      </c>
      <c r="B72" s="231" t="s">
        <v>180</v>
      </c>
      <c r="C72" s="230"/>
      <c r="D72" s="230"/>
      <c r="E72" s="230"/>
      <c r="F72" s="230"/>
      <c r="G72" s="230"/>
      <c r="H72" s="230"/>
      <c r="I72" s="230">
        <v>87</v>
      </c>
    </row>
    <row r="73" spans="1:9" x14ac:dyDescent="0.25">
      <c r="A73" s="232">
        <v>79</v>
      </c>
      <c r="B73" s="231" t="s">
        <v>179</v>
      </c>
      <c r="C73" s="230"/>
      <c r="D73" s="230"/>
      <c r="E73" s="230"/>
      <c r="F73" s="230"/>
      <c r="G73" s="230"/>
      <c r="H73" s="230"/>
      <c r="I73" s="230">
        <v>123</v>
      </c>
    </row>
    <row r="74" spans="1:9" x14ac:dyDescent="0.25">
      <c r="A74" s="232">
        <v>80</v>
      </c>
      <c r="B74" s="231" t="s">
        <v>169</v>
      </c>
      <c r="C74" s="230"/>
      <c r="D74" s="230"/>
      <c r="E74" s="230"/>
      <c r="F74" s="230"/>
      <c r="G74" s="230"/>
      <c r="H74" s="230"/>
      <c r="I74" s="230">
        <v>47</v>
      </c>
    </row>
    <row r="75" spans="1:9" x14ac:dyDescent="0.25">
      <c r="A75" s="232">
        <v>81</v>
      </c>
      <c r="B75" s="231" t="s">
        <v>178</v>
      </c>
      <c r="C75" s="230"/>
      <c r="D75" s="230">
        <v>183</v>
      </c>
      <c r="E75" s="230">
        <v>328</v>
      </c>
      <c r="F75" s="230">
        <v>51</v>
      </c>
      <c r="G75" s="230">
        <v>76</v>
      </c>
      <c r="H75" s="230">
        <v>71</v>
      </c>
      <c r="I75" s="230">
        <v>145</v>
      </c>
    </row>
    <row r="76" spans="1:9" x14ac:dyDescent="0.25">
      <c r="A76" s="232">
        <v>82</v>
      </c>
      <c r="B76" s="231" t="s">
        <v>177</v>
      </c>
      <c r="C76" s="230"/>
      <c r="D76" s="230">
        <v>183</v>
      </c>
      <c r="E76" s="230">
        <v>256</v>
      </c>
      <c r="F76" s="230">
        <v>51</v>
      </c>
      <c r="G76" s="230">
        <v>76</v>
      </c>
      <c r="H76" s="230">
        <v>72</v>
      </c>
      <c r="I76" s="230">
        <v>223</v>
      </c>
    </row>
    <row r="77" spans="1:9" x14ac:dyDescent="0.25">
      <c r="A77" s="232">
        <v>83</v>
      </c>
      <c r="B77" s="231" t="s">
        <v>176</v>
      </c>
      <c r="C77" s="230"/>
      <c r="D77" s="230"/>
      <c r="E77" s="230">
        <v>183</v>
      </c>
      <c r="F77" s="230">
        <v>51</v>
      </c>
      <c r="G77" s="230">
        <v>76</v>
      </c>
      <c r="H77" s="230">
        <v>119</v>
      </c>
      <c r="I77" s="230">
        <v>254</v>
      </c>
    </row>
    <row r="78" spans="1:9" x14ac:dyDescent="0.25">
      <c r="A78" s="232">
        <v>84</v>
      </c>
      <c r="B78" s="231" t="s">
        <v>175</v>
      </c>
      <c r="C78" s="230"/>
      <c r="D78" s="230">
        <v>183</v>
      </c>
      <c r="E78" s="230">
        <v>232</v>
      </c>
      <c r="F78" s="230">
        <v>51</v>
      </c>
      <c r="G78" s="230">
        <v>76</v>
      </c>
      <c r="H78" s="230">
        <v>38</v>
      </c>
      <c r="I78" s="230">
        <v>255</v>
      </c>
    </row>
    <row r="79" spans="1:9" x14ac:dyDescent="0.25">
      <c r="A79" s="232">
        <v>85</v>
      </c>
      <c r="B79" s="231" t="s">
        <v>174</v>
      </c>
      <c r="C79" s="230"/>
      <c r="D79" s="230">
        <v>183</v>
      </c>
      <c r="E79" s="230">
        <v>293</v>
      </c>
      <c r="F79" s="230">
        <v>51</v>
      </c>
      <c r="G79" s="230">
        <v>76</v>
      </c>
      <c r="H79" s="230">
        <v>55</v>
      </c>
      <c r="I79" s="230">
        <v>240</v>
      </c>
    </row>
    <row r="80" spans="1:9" x14ac:dyDescent="0.25">
      <c r="A80" s="232">
        <v>86</v>
      </c>
      <c r="B80" s="231" t="s">
        <v>173</v>
      </c>
      <c r="C80" s="230"/>
      <c r="D80" s="230"/>
      <c r="E80" s="230"/>
      <c r="F80" s="230">
        <v>51</v>
      </c>
      <c r="G80" s="230">
        <v>76</v>
      </c>
      <c r="H80" s="230">
        <v>102</v>
      </c>
      <c r="I80" s="230">
        <v>232</v>
      </c>
    </row>
    <row r="81" spans="1:9" x14ac:dyDescent="0.25">
      <c r="A81" s="232">
        <v>87</v>
      </c>
      <c r="B81" s="231" t="s">
        <v>172</v>
      </c>
      <c r="C81" s="230"/>
      <c r="D81" s="230">
        <v>183</v>
      </c>
      <c r="E81" s="230">
        <v>263</v>
      </c>
      <c r="F81" s="230">
        <v>51</v>
      </c>
      <c r="G81" s="230">
        <v>76</v>
      </c>
      <c r="H81" s="230">
        <v>45</v>
      </c>
      <c r="I81" s="230">
        <v>292</v>
      </c>
    </row>
    <row r="82" spans="1:9" x14ac:dyDescent="0.25">
      <c r="A82" s="232">
        <v>88</v>
      </c>
      <c r="B82" s="231" t="s">
        <v>171</v>
      </c>
      <c r="C82" s="230"/>
      <c r="D82" s="230">
        <v>183</v>
      </c>
      <c r="E82" s="230">
        <v>200</v>
      </c>
      <c r="F82" s="230">
        <v>51</v>
      </c>
      <c r="G82" s="230">
        <v>76</v>
      </c>
      <c r="H82" s="230"/>
      <c r="I82" s="230">
        <v>247</v>
      </c>
    </row>
    <row r="83" spans="1:9" x14ac:dyDescent="0.25">
      <c r="A83" s="232">
        <v>89</v>
      </c>
      <c r="B83" s="231" t="s">
        <v>170</v>
      </c>
      <c r="C83" s="230"/>
      <c r="D83" s="230"/>
      <c r="E83" s="230">
        <v>160</v>
      </c>
      <c r="F83" s="230">
        <v>51</v>
      </c>
      <c r="G83" s="230">
        <v>76</v>
      </c>
      <c r="H83" s="230">
        <v>67</v>
      </c>
      <c r="I83" s="230">
        <v>315</v>
      </c>
    </row>
    <row r="84" spans="1:9" x14ac:dyDescent="0.25">
      <c r="A84" s="232">
        <v>90</v>
      </c>
      <c r="B84" s="231" t="s">
        <v>169</v>
      </c>
      <c r="C84" s="230"/>
      <c r="D84" s="230">
        <v>173</v>
      </c>
      <c r="E84" s="230">
        <v>134</v>
      </c>
      <c r="F84" s="230">
        <v>51</v>
      </c>
      <c r="G84" s="230">
        <v>76</v>
      </c>
      <c r="H84" s="230">
        <v>47</v>
      </c>
      <c r="I84" s="230">
        <v>101</v>
      </c>
    </row>
    <row r="85" spans="1:9" x14ac:dyDescent="0.25">
      <c r="A85" s="232">
        <v>91</v>
      </c>
      <c r="B85" s="231" t="s">
        <v>131</v>
      </c>
      <c r="C85" s="230"/>
      <c r="D85" s="230">
        <v>399</v>
      </c>
      <c r="E85" s="230"/>
      <c r="F85" s="230">
        <v>56</v>
      </c>
      <c r="G85" s="230">
        <v>76</v>
      </c>
      <c r="H85" s="230">
        <v>268</v>
      </c>
      <c r="I85" s="230">
        <v>213</v>
      </c>
    </row>
    <row r="86" spans="1:9" x14ac:dyDescent="0.25">
      <c r="A86" s="232">
        <v>92</v>
      </c>
      <c r="B86" s="231" t="s">
        <v>168</v>
      </c>
      <c r="C86" s="230"/>
      <c r="D86" s="230">
        <v>160</v>
      </c>
      <c r="E86" s="230"/>
      <c r="F86" s="230">
        <v>58</v>
      </c>
      <c r="G86" s="230">
        <v>79</v>
      </c>
      <c r="H86" s="230">
        <v>106</v>
      </c>
      <c r="I86" s="230">
        <v>144</v>
      </c>
    </row>
    <row r="87" spans="1:9" x14ac:dyDescent="0.25">
      <c r="A87" s="232">
        <v>93</v>
      </c>
      <c r="B87" s="231" t="s">
        <v>165</v>
      </c>
      <c r="C87" s="230">
        <v>212</v>
      </c>
      <c r="D87" s="230"/>
      <c r="E87" s="230"/>
      <c r="F87" s="230">
        <v>56</v>
      </c>
      <c r="G87" s="230">
        <v>76</v>
      </c>
      <c r="H87" s="230">
        <v>141</v>
      </c>
      <c r="I87" s="230">
        <v>190</v>
      </c>
    </row>
    <row r="88" spans="1:9" x14ac:dyDescent="0.25">
      <c r="A88" s="232">
        <v>94</v>
      </c>
      <c r="B88" s="231" t="s">
        <v>167</v>
      </c>
      <c r="C88" s="230">
        <v>261</v>
      </c>
      <c r="D88" s="230"/>
      <c r="E88" s="230"/>
      <c r="F88" s="230">
        <v>56</v>
      </c>
      <c r="G88" s="230">
        <v>76</v>
      </c>
      <c r="H88" s="230">
        <v>107</v>
      </c>
      <c r="I88" s="230">
        <v>369</v>
      </c>
    </row>
    <row r="89" spans="1:9" x14ac:dyDescent="0.25">
      <c r="A89" s="232">
        <v>95</v>
      </c>
      <c r="B89" s="231" t="s">
        <v>166</v>
      </c>
      <c r="C89" s="230">
        <v>235</v>
      </c>
      <c r="D89" s="230"/>
      <c r="E89" s="230"/>
      <c r="F89" s="230">
        <v>58</v>
      </c>
      <c r="G89" s="230">
        <v>79</v>
      </c>
      <c r="H89" s="230">
        <v>76</v>
      </c>
      <c r="I89" s="230">
        <v>135</v>
      </c>
    </row>
    <row r="90" spans="1:9" x14ac:dyDescent="0.25">
      <c r="A90" s="232">
        <v>96</v>
      </c>
      <c r="B90" s="231" t="s">
        <v>165</v>
      </c>
      <c r="C90" s="230"/>
      <c r="D90" s="230"/>
      <c r="E90" s="230"/>
      <c r="F90" s="230">
        <v>56</v>
      </c>
      <c r="G90" s="230">
        <v>76</v>
      </c>
      <c r="H90" s="230">
        <v>54</v>
      </c>
      <c r="I90" s="230">
        <v>131</v>
      </c>
    </row>
    <row r="91" spans="1:9" x14ac:dyDescent="0.25">
      <c r="A91" s="232">
        <v>97</v>
      </c>
      <c r="B91" s="231" t="s">
        <v>164</v>
      </c>
      <c r="C91" s="230">
        <v>335</v>
      </c>
      <c r="D91" s="230"/>
      <c r="E91" s="230">
        <v>220</v>
      </c>
      <c r="F91" s="230"/>
      <c r="G91" s="230"/>
      <c r="H91" s="230">
        <v>57</v>
      </c>
      <c r="I91" s="230">
        <v>135</v>
      </c>
    </row>
    <row r="92" spans="1:9" x14ac:dyDescent="0.25">
      <c r="A92" s="232">
        <v>98</v>
      </c>
      <c r="B92" s="231" t="s">
        <v>163</v>
      </c>
      <c r="C92" s="230">
        <v>256</v>
      </c>
      <c r="D92" s="230"/>
      <c r="E92" s="230">
        <v>201</v>
      </c>
      <c r="F92" s="230"/>
      <c r="G92" s="230"/>
      <c r="H92" s="230">
        <v>65</v>
      </c>
      <c r="I92" s="230">
        <v>131</v>
      </c>
    </row>
    <row r="93" spans="1:9" x14ac:dyDescent="0.25">
      <c r="A93" s="232">
        <v>99</v>
      </c>
      <c r="B93" s="231" t="s">
        <v>162</v>
      </c>
      <c r="C93" s="230">
        <v>298</v>
      </c>
      <c r="D93" s="230"/>
      <c r="E93" s="230">
        <v>179</v>
      </c>
      <c r="F93" s="230"/>
      <c r="G93" s="230"/>
      <c r="H93" s="230">
        <v>55</v>
      </c>
      <c r="I93" s="230">
        <v>121</v>
      </c>
    </row>
    <row r="94" spans="1:9" x14ac:dyDescent="0.25">
      <c r="A94" s="232">
        <v>100</v>
      </c>
      <c r="B94" s="231" t="s">
        <v>161</v>
      </c>
      <c r="C94" s="230">
        <v>315</v>
      </c>
      <c r="D94" s="230"/>
      <c r="E94" s="230">
        <v>182</v>
      </c>
      <c r="F94" s="230"/>
      <c r="G94" s="230"/>
      <c r="H94" s="230">
        <v>36</v>
      </c>
      <c r="I94" s="230">
        <v>136</v>
      </c>
    </row>
    <row r="95" spans="1:9" x14ac:dyDescent="0.25">
      <c r="A95" s="232">
        <v>101</v>
      </c>
      <c r="B95" s="231" t="s">
        <v>160</v>
      </c>
      <c r="C95" s="230">
        <v>304</v>
      </c>
      <c r="D95" s="230"/>
      <c r="E95" s="230"/>
      <c r="F95" s="230">
        <v>78</v>
      </c>
      <c r="G95" s="230">
        <v>78</v>
      </c>
      <c r="H95" s="230"/>
      <c r="I95" s="230" t="s">
        <v>123</v>
      </c>
    </row>
    <row r="96" spans="1:9" x14ac:dyDescent="0.25">
      <c r="A96" s="232">
        <v>102</v>
      </c>
      <c r="B96" s="231" t="s">
        <v>159</v>
      </c>
      <c r="C96" s="230">
        <v>491</v>
      </c>
      <c r="D96" s="230"/>
      <c r="E96" s="230"/>
      <c r="F96" s="230">
        <v>97</v>
      </c>
      <c r="G96" s="230">
        <v>97</v>
      </c>
      <c r="H96" s="230"/>
      <c r="I96" s="230" t="s">
        <v>123</v>
      </c>
    </row>
    <row r="97" spans="1:9" x14ac:dyDescent="0.25">
      <c r="A97" s="232">
        <v>103</v>
      </c>
      <c r="B97" s="231" t="s">
        <v>158</v>
      </c>
      <c r="C97" s="230">
        <v>304</v>
      </c>
      <c r="D97" s="230"/>
      <c r="E97" s="230"/>
      <c r="F97" s="230">
        <v>97</v>
      </c>
      <c r="G97" s="230">
        <v>97</v>
      </c>
      <c r="H97" s="230"/>
      <c r="I97" s="230" t="s">
        <v>123</v>
      </c>
    </row>
    <row r="98" spans="1:9" x14ac:dyDescent="0.25">
      <c r="A98" s="232">
        <v>104</v>
      </c>
      <c r="B98" s="231" t="s">
        <v>157</v>
      </c>
      <c r="C98" s="230"/>
      <c r="D98" s="230">
        <v>217</v>
      </c>
      <c r="E98" s="230"/>
      <c r="F98" s="230">
        <v>50</v>
      </c>
      <c r="G98" s="230">
        <v>51</v>
      </c>
      <c r="H98" s="230"/>
      <c r="I98" s="230" t="s">
        <v>123</v>
      </c>
    </row>
    <row r="99" spans="1:9" x14ac:dyDescent="0.25">
      <c r="A99" s="232">
        <v>105</v>
      </c>
      <c r="B99" s="231" t="s">
        <v>156</v>
      </c>
      <c r="C99" s="230">
        <v>253</v>
      </c>
      <c r="D99" s="230"/>
      <c r="E99" s="230"/>
      <c r="F99" s="230">
        <v>97</v>
      </c>
      <c r="G99" s="230">
        <v>97</v>
      </c>
      <c r="H99" s="230"/>
      <c r="I99" s="230" t="s">
        <v>123</v>
      </c>
    </row>
    <row r="100" spans="1:9" x14ac:dyDescent="0.25">
      <c r="A100" s="232">
        <v>106</v>
      </c>
      <c r="B100" s="231" t="s">
        <v>155</v>
      </c>
      <c r="C100" s="230">
        <v>209</v>
      </c>
      <c r="D100" s="230"/>
      <c r="E100" s="230"/>
      <c r="F100" s="230">
        <v>50</v>
      </c>
      <c r="G100" s="230">
        <v>51</v>
      </c>
      <c r="H100" s="230"/>
      <c r="I100" s="230" t="s">
        <v>123</v>
      </c>
    </row>
    <row r="101" spans="1:9" x14ac:dyDescent="0.25">
      <c r="A101" s="232">
        <v>107</v>
      </c>
      <c r="B101" s="231" t="s">
        <v>154</v>
      </c>
      <c r="C101" s="230">
        <v>290</v>
      </c>
      <c r="D101" s="230"/>
      <c r="E101" s="230"/>
      <c r="F101" s="230">
        <v>56</v>
      </c>
      <c r="G101" s="230">
        <v>56</v>
      </c>
      <c r="H101" s="230"/>
      <c r="I101" s="230" t="s">
        <v>123</v>
      </c>
    </row>
    <row r="102" spans="1:9" x14ac:dyDescent="0.25">
      <c r="A102" s="232">
        <v>108</v>
      </c>
      <c r="B102" s="231" t="s">
        <v>153</v>
      </c>
      <c r="C102" s="230"/>
      <c r="D102" s="230"/>
      <c r="E102" s="230"/>
      <c r="F102" s="230">
        <v>199</v>
      </c>
      <c r="G102" s="230">
        <v>200</v>
      </c>
      <c r="H102" s="230"/>
      <c r="I102" s="230">
        <v>158</v>
      </c>
    </row>
    <row r="103" spans="1:9" x14ac:dyDescent="0.25">
      <c r="A103" s="232">
        <v>109</v>
      </c>
      <c r="B103" s="231" t="s">
        <v>152</v>
      </c>
      <c r="C103" s="230"/>
      <c r="D103" s="230">
        <v>282</v>
      </c>
      <c r="E103" s="230"/>
      <c r="F103" s="230">
        <v>133</v>
      </c>
      <c r="G103" s="230">
        <v>133</v>
      </c>
      <c r="H103" s="230"/>
      <c r="I103" s="230">
        <v>112</v>
      </c>
    </row>
    <row r="104" spans="1:9" x14ac:dyDescent="0.25">
      <c r="A104" s="232">
        <v>110</v>
      </c>
      <c r="B104" s="231" t="s">
        <v>115</v>
      </c>
      <c r="C104" s="230"/>
      <c r="D104" s="230"/>
      <c r="E104" s="230"/>
      <c r="F104" s="230">
        <v>159</v>
      </c>
      <c r="G104" s="230">
        <v>160</v>
      </c>
      <c r="H104" s="230"/>
      <c r="I104" s="230">
        <v>150</v>
      </c>
    </row>
    <row r="105" spans="1:9" x14ac:dyDescent="0.25">
      <c r="A105" s="232">
        <v>111</v>
      </c>
      <c r="B105" s="231" t="s">
        <v>151</v>
      </c>
      <c r="C105" s="230"/>
      <c r="D105" s="230">
        <v>241</v>
      </c>
      <c r="E105" s="230"/>
      <c r="F105" s="230">
        <v>199</v>
      </c>
      <c r="G105" s="230">
        <v>200</v>
      </c>
      <c r="H105" s="230"/>
      <c r="I105" s="230">
        <v>137</v>
      </c>
    </row>
    <row r="106" spans="1:9" x14ac:dyDescent="0.25">
      <c r="A106" s="232">
        <v>112</v>
      </c>
      <c r="B106" s="231" t="s">
        <v>150</v>
      </c>
      <c r="C106" s="230"/>
      <c r="D106" s="230"/>
      <c r="E106" s="230"/>
      <c r="F106" s="230">
        <v>265</v>
      </c>
      <c r="G106" s="230">
        <v>266</v>
      </c>
      <c r="H106" s="230"/>
      <c r="I106" s="230">
        <v>266</v>
      </c>
    </row>
    <row r="107" spans="1:9" x14ac:dyDescent="0.25">
      <c r="A107" s="232">
        <v>113</v>
      </c>
      <c r="B107" s="231" t="s">
        <v>149</v>
      </c>
      <c r="C107" s="230"/>
      <c r="D107" s="230"/>
      <c r="E107" s="230"/>
      <c r="F107" s="230">
        <v>332</v>
      </c>
      <c r="G107" s="230">
        <v>333</v>
      </c>
      <c r="H107" s="230"/>
      <c r="I107" s="230">
        <v>337</v>
      </c>
    </row>
    <row r="108" spans="1:9" x14ac:dyDescent="0.25">
      <c r="A108" s="232">
        <v>114</v>
      </c>
      <c r="B108" s="231" t="s">
        <v>148</v>
      </c>
      <c r="C108" s="230"/>
      <c r="D108" s="230"/>
      <c r="E108" s="230"/>
      <c r="F108" s="230"/>
      <c r="G108" s="230"/>
      <c r="H108" s="230">
        <v>135</v>
      </c>
      <c r="I108" s="230">
        <v>1371</v>
      </c>
    </row>
    <row r="109" spans="1:9" x14ac:dyDescent="0.25">
      <c r="A109" s="232">
        <v>115</v>
      </c>
      <c r="B109" s="231" t="s">
        <v>147</v>
      </c>
      <c r="C109" s="230"/>
      <c r="D109" s="230"/>
      <c r="E109" s="230"/>
      <c r="F109" s="230"/>
      <c r="G109" s="230"/>
      <c r="H109" s="230"/>
      <c r="I109" s="230">
        <v>571</v>
      </c>
    </row>
    <row r="110" spans="1:9" x14ac:dyDescent="0.25">
      <c r="A110" s="232">
        <v>116</v>
      </c>
      <c r="B110" s="231" t="s">
        <v>146</v>
      </c>
      <c r="C110" s="230">
        <v>364</v>
      </c>
      <c r="D110" s="230"/>
      <c r="E110" s="230"/>
      <c r="F110" s="230"/>
      <c r="G110" s="230"/>
      <c r="H110" s="230">
        <v>68</v>
      </c>
      <c r="I110" s="230">
        <v>343</v>
      </c>
    </row>
    <row r="111" spans="1:9" x14ac:dyDescent="0.25">
      <c r="A111" s="232">
        <v>118</v>
      </c>
      <c r="B111" s="231" t="s">
        <v>145</v>
      </c>
      <c r="C111" s="230"/>
      <c r="D111" s="230"/>
      <c r="E111" s="230"/>
      <c r="F111" s="230"/>
      <c r="G111" s="230"/>
      <c r="H111" s="230"/>
      <c r="I111" s="230">
        <v>503</v>
      </c>
    </row>
    <row r="112" spans="1:9" x14ac:dyDescent="0.25">
      <c r="A112" s="232">
        <v>119</v>
      </c>
      <c r="B112" s="231" t="s">
        <v>144</v>
      </c>
      <c r="C112" s="230"/>
      <c r="D112" s="230"/>
      <c r="E112" s="230"/>
      <c r="F112" s="230"/>
      <c r="G112" s="230"/>
      <c r="H112" s="230"/>
      <c r="I112" s="230">
        <v>212</v>
      </c>
    </row>
    <row r="113" spans="1:9" x14ac:dyDescent="0.25">
      <c r="A113" s="232">
        <v>121</v>
      </c>
      <c r="B113" s="231" t="s">
        <v>143</v>
      </c>
      <c r="C113" s="230"/>
      <c r="D113" s="230"/>
      <c r="E113" s="230">
        <v>394</v>
      </c>
      <c r="F113" s="230"/>
      <c r="G113" s="230"/>
      <c r="H113" s="230"/>
      <c r="I113" s="230">
        <v>112</v>
      </c>
    </row>
    <row r="114" spans="1:9" x14ac:dyDescent="0.25">
      <c r="A114" s="232">
        <v>122</v>
      </c>
      <c r="B114" s="231" t="s">
        <v>142</v>
      </c>
      <c r="C114" s="230"/>
      <c r="D114" s="230"/>
      <c r="E114" s="230">
        <v>665</v>
      </c>
      <c r="F114" s="230"/>
      <c r="G114" s="230"/>
      <c r="H114" s="230"/>
      <c r="I114" s="230">
        <v>164</v>
      </c>
    </row>
    <row r="115" spans="1:9" x14ac:dyDescent="0.25">
      <c r="A115" s="232">
        <v>123</v>
      </c>
      <c r="B115" s="231" t="s">
        <v>141</v>
      </c>
      <c r="C115" s="230"/>
      <c r="D115" s="230"/>
      <c r="E115" s="230">
        <v>176</v>
      </c>
      <c r="F115" s="230"/>
      <c r="G115" s="230"/>
      <c r="H115" s="230"/>
      <c r="I115" s="230" t="s">
        <v>123</v>
      </c>
    </row>
    <row r="116" spans="1:9" x14ac:dyDescent="0.25">
      <c r="A116" s="232">
        <v>124</v>
      </c>
      <c r="B116" s="231" t="s">
        <v>140</v>
      </c>
      <c r="C116" s="230"/>
      <c r="D116" s="230"/>
      <c r="E116" s="230"/>
      <c r="F116" s="230"/>
      <c r="G116" s="230"/>
      <c r="H116" s="230"/>
      <c r="I116" s="230">
        <v>414</v>
      </c>
    </row>
    <row r="117" spans="1:9" x14ac:dyDescent="0.25">
      <c r="A117" s="232">
        <v>125</v>
      </c>
      <c r="B117" s="231" t="s">
        <v>139</v>
      </c>
      <c r="C117" s="230"/>
      <c r="D117" s="230"/>
      <c r="E117" s="230"/>
      <c r="F117" s="230"/>
      <c r="G117" s="230"/>
      <c r="H117" s="230"/>
      <c r="I117" s="230">
        <v>239</v>
      </c>
    </row>
    <row r="118" spans="1:9" x14ac:dyDescent="0.25">
      <c r="A118" s="232">
        <v>126</v>
      </c>
      <c r="B118" s="231" t="s">
        <v>138</v>
      </c>
      <c r="C118" s="230">
        <v>277</v>
      </c>
      <c r="D118" s="230"/>
      <c r="E118" s="230"/>
      <c r="F118" s="230"/>
      <c r="G118" s="230"/>
      <c r="H118" s="230"/>
      <c r="I118" s="230">
        <v>183</v>
      </c>
    </row>
    <row r="119" spans="1:9" x14ac:dyDescent="0.25">
      <c r="A119" s="232">
        <v>127</v>
      </c>
      <c r="B119" s="231" t="s">
        <v>137</v>
      </c>
      <c r="C119" s="230">
        <v>196</v>
      </c>
      <c r="D119" s="230"/>
      <c r="E119" s="230"/>
      <c r="F119" s="230"/>
      <c r="G119" s="230"/>
      <c r="H119" s="230"/>
      <c r="I119" s="230">
        <v>76</v>
      </c>
    </row>
    <row r="120" spans="1:9" x14ac:dyDescent="0.25">
      <c r="A120" s="232">
        <v>128</v>
      </c>
      <c r="B120" s="231" t="s">
        <v>136</v>
      </c>
      <c r="C120" s="230">
        <v>276</v>
      </c>
      <c r="D120" s="230"/>
      <c r="E120" s="230"/>
      <c r="F120" s="230"/>
      <c r="G120" s="230"/>
      <c r="H120" s="230"/>
      <c r="I120" s="230">
        <v>125</v>
      </c>
    </row>
    <row r="121" spans="1:9" x14ac:dyDescent="0.25">
      <c r="A121" s="232">
        <v>129</v>
      </c>
      <c r="B121" s="231" t="s">
        <v>135</v>
      </c>
      <c r="C121" s="230">
        <v>1013</v>
      </c>
      <c r="D121" s="230"/>
      <c r="E121" s="230"/>
      <c r="F121" s="230">
        <v>295</v>
      </c>
      <c r="G121" s="230">
        <v>296</v>
      </c>
      <c r="H121" s="230"/>
      <c r="I121" s="230">
        <v>457</v>
      </c>
    </row>
    <row r="122" spans="1:9" x14ac:dyDescent="0.25">
      <c r="A122" s="232">
        <v>130</v>
      </c>
      <c r="B122" s="231" t="s">
        <v>131</v>
      </c>
      <c r="C122" s="230">
        <v>485</v>
      </c>
      <c r="D122" s="230"/>
      <c r="E122" s="230"/>
      <c r="F122" s="230">
        <v>91</v>
      </c>
      <c r="G122" s="230">
        <v>91</v>
      </c>
      <c r="H122" s="230">
        <v>75</v>
      </c>
      <c r="I122" s="230">
        <v>219</v>
      </c>
    </row>
    <row r="123" spans="1:9" x14ac:dyDescent="0.25">
      <c r="A123" s="232">
        <v>131</v>
      </c>
      <c r="B123" s="231" t="s">
        <v>134</v>
      </c>
      <c r="C123" s="230"/>
      <c r="D123" s="230">
        <v>218</v>
      </c>
      <c r="E123" s="230"/>
      <c r="F123" s="230">
        <v>90</v>
      </c>
      <c r="G123" s="230">
        <v>90</v>
      </c>
      <c r="H123" s="230"/>
      <c r="I123" s="230">
        <v>265</v>
      </c>
    </row>
    <row r="124" spans="1:9" x14ac:dyDescent="0.25">
      <c r="A124" s="232">
        <v>132</v>
      </c>
      <c r="B124" s="231" t="s">
        <v>133</v>
      </c>
      <c r="C124" s="230"/>
      <c r="D124" s="230"/>
      <c r="E124" s="230"/>
      <c r="F124" s="230">
        <v>89</v>
      </c>
      <c r="G124" s="230">
        <v>90</v>
      </c>
      <c r="H124" s="230">
        <v>54</v>
      </c>
      <c r="I124" s="230">
        <v>205</v>
      </c>
    </row>
    <row r="125" spans="1:9" x14ac:dyDescent="0.25">
      <c r="A125" s="232">
        <v>133</v>
      </c>
      <c r="B125" s="231" t="s">
        <v>132</v>
      </c>
      <c r="C125" s="230">
        <v>606</v>
      </c>
      <c r="D125" s="230"/>
      <c r="E125" s="230">
        <v>469</v>
      </c>
      <c r="F125" s="230">
        <v>291</v>
      </c>
      <c r="G125" s="230">
        <v>315</v>
      </c>
      <c r="H125" s="230"/>
      <c r="I125" s="230">
        <v>253</v>
      </c>
    </row>
    <row r="126" spans="1:9" x14ac:dyDescent="0.25">
      <c r="A126" s="232">
        <v>134</v>
      </c>
      <c r="B126" s="231" t="s">
        <v>131</v>
      </c>
      <c r="C126" s="230">
        <v>272</v>
      </c>
      <c r="D126" s="230"/>
      <c r="E126" s="230">
        <v>281</v>
      </c>
      <c r="F126" s="230">
        <v>147</v>
      </c>
      <c r="G126" s="230">
        <v>155</v>
      </c>
      <c r="H126" s="230"/>
      <c r="I126" s="230">
        <v>182</v>
      </c>
    </row>
    <row r="127" spans="1:9" x14ac:dyDescent="0.25">
      <c r="A127" s="232">
        <v>135</v>
      </c>
      <c r="B127" s="231" t="s">
        <v>130</v>
      </c>
      <c r="C127" s="230">
        <v>371</v>
      </c>
      <c r="D127" s="230"/>
      <c r="E127" s="230">
        <v>257</v>
      </c>
      <c r="F127" s="230">
        <v>130</v>
      </c>
      <c r="G127" s="230">
        <v>136</v>
      </c>
      <c r="H127" s="230"/>
      <c r="I127" s="230">
        <v>148</v>
      </c>
    </row>
    <row r="128" spans="1:9" x14ac:dyDescent="0.25">
      <c r="A128" s="232">
        <v>136</v>
      </c>
      <c r="B128" s="231" t="s">
        <v>129</v>
      </c>
      <c r="C128" s="230"/>
      <c r="D128" s="230"/>
      <c r="E128" s="230">
        <v>232</v>
      </c>
      <c r="F128" s="230"/>
      <c r="G128" s="230"/>
      <c r="H128" s="230"/>
      <c r="I128" s="230" t="s">
        <v>123</v>
      </c>
    </row>
    <row r="129" spans="1:15" x14ac:dyDescent="0.25">
      <c r="A129" s="232">
        <v>137</v>
      </c>
      <c r="B129" s="231" t="s">
        <v>128</v>
      </c>
      <c r="C129" s="230">
        <v>415</v>
      </c>
      <c r="D129" s="230"/>
      <c r="E129" s="230"/>
      <c r="F129" s="230">
        <v>102</v>
      </c>
      <c r="G129" s="230">
        <v>108</v>
      </c>
      <c r="H129" s="230"/>
      <c r="I129" s="230">
        <v>175</v>
      </c>
    </row>
    <row r="130" spans="1:15" x14ac:dyDescent="0.25">
      <c r="A130" s="232">
        <v>142</v>
      </c>
      <c r="B130" s="231" t="s">
        <v>127</v>
      </c>
      <c r="C130" s="230"/>
      <c r="D130" s="230"/>
      <c r="E130" s="230"/>
      <c r="F130" s="230"/>
      <c r="G130" s="230"/>
      <c r="H130" s="230"/>
      <c r="I130" s="230">
        <v>69</v>
      </c>
    </row>
    <row r="131" spans="1:15" x14ac:dyDescent="0.25">
      <c r="A131" s="232">
        <v>144</v>
      </c>
      <c r="B131" s="231" t="s">
        <v>126</v>
      </c>
      <c r="C131" s="230"/>
      <c r="D131" s="230"/>
      <c r="E131" s="230"/>
      <c r="F131" s="230"/>
      <c r="G131" s="230"/>
      <c r="H131" s="230"/>
      <c r="I131" s="230">
        <v>323</v>
      </c>
    </row>
    <row r="132" spans="1:15" x14ac:dyDescent="0.25">
      <c r="A132" s="232">
        <v>145</v>
      </c>
      <c r="B132" s="231" t="s">
        <v>125</v>
      </c>
      <c r="C132" s="230"/>
      <c r="D132" s="230"/>
      <c r="E132" s="230"/>
      <c r="F132" s="230"/>
      <c r="G132" s="230"/>
      <c r="H132" s="230">
        <v>96</v>
      </c>
      <c r="I132" s="230" t="s">
        <v>123</v>
      </c>
    </row>
    <row r="133" spans="1:15" x14ac:dyDescent="0.25">
      <c r="A133" s="232">
        <v>146</v>
      </c>
      <c r="B133" s="231" t="s">
        <v>124</v>
      </c>
      <c r="C133" s="230"/>
      <c r="D133" s="230"/>
      <c r="E133" s="230"/>
      <c r="F133" s="230"/>
      <c r="G133" s="230"/>
      <c r="H133" s="230">
        <v>31</v>
      </c>
      <c r="I133" s="230" t="s">
        <v>123</v>
      </c>
    </row>
    <row r="134" spans="1:15" x14ac:dyDescent="0.25">
      <c r="A134" s="232">
        <v>152</v>
      </c>
      <c r="B134" s="231" t="s">
        <v>122</v>
      </c>
      <c r="C134" s="230">
        <v>1034</v>
      </c>
      <c r="D134" s="230"/>
      <c r="E134" s="230"/>
      <c r="F134" s="230"/>
      <c r="G134" s="230"/>
      <c r="H134" s="230">
        <v>424</v>
      </c>
      <c r="I134" s="230">
        <v>780</v>
      </c>
    </row>
    <row r="135" spans="1:15" x14ac:dyDescent="0.25">
      <c r="A135" s="232">
        <v>153</v>
      </c>
      <c r="B135" s="231" t="s">
        <v>121</v>
      </c>
      <c r="C135" s="230">
        <v>989</v>
      </c>
      <c r="D135" s="230"/>
      <c r="E135" s="230"/>
      <c r="F135" s="230"/>
      <c r="G135" s="230"/>
      <c r="H135" s="230"/>
      <c r="I135" s="230">
        <v>363</v>
      </c>
    </row>
    <row r="136" spans="1:15" x14ac:dyDescent="0.25">
      <c r="A136" s="232">
        <v>154</v>
      </c>
      <c r="B136" s="231" t="s">
        <v>120</v>
      </c>
      <c r="C136" s="230">
        <v>385</v>
      </c>
      <c r="D136" s="230"/>
      <c r="E136" s="230"/>
      <c r="F136" s="230"/>
      <c r="G136" s="230"/>
      <c r="H136" s="230">
        <v>142</v>
      </c>
      <c r="I136" s="230">
        <v>334</v>
      </c>
    </row>
    <row r="137" spans="1:15" x14ac:dyDescent="0.25">
      <c r="A137" s="232">
        <v>155</v>
      </c>
      <c r="B137" s="231" t="s">
        <v>119</v>
      </c>
      <c r="C137" s="230">
        <v>252</v>
      </c>
      <c r="D137" s="230"/>
      <c r="E137" s="230"/>
      <c r="F137" s="230"/>
      <c r="G137" s="230"/>
      <c r="H137" s="230">
        <v>78</v>
      </c>
      <c r="I137" s="230">
        <v>140</v>
      </c>
    </row>
    <row r="138" spans="1:15" x14ac:dyDescent="0.25">
      <c r="A138" s="232">
        <v>156</v>
      </c>
      <c r="B138" s="231" t="s">
        <v>118</v>
      </c>
      <c r="C138" s="230">
        <v>759</v>
      </c>
      <c r="D138" s="230"/>
      <c r="E138" s="230"/>
      <c r="F138" s="230"/>
      <c r="G138" s="230"/>
      <c r="H138" s="230"/>
      <c r="I138" s="230">
        <v>536</v>
      </c>
    </row>
    <row r="139" spans="1:15" x14ac:dyDescent="0.25">
      <c r="A139" s="232">
        <v>157</v>
      </c>
      <c r="B139" s="231" t="s">
        <v>117</v>
      </c>
      <c r="C139" s="230">
        <v>290</v>
      </c>
      <c r="D139" s="230"/>
      <c r="E139" s="230"/>
      <c r="F139" s="230"/>
      <c r="G139" s="230"/>
      <c r="H139" s="230">
        <v>96</v>
      </c>
      <c r="I139" s="230">
        <v>207</v>
      </c>
    </row>
    <row r="140" spans="1:15" x14ac:dyDescent="0.25">
      <c r="A140" s="232">
        <v>158</v>
      </c>
      <c r="B140" s="231" t="s">
        <v>116</v>
      </c>
      <c r="C140" s="230">
        <v>233</v>
      </c>
      <c r="D140" s="230"/>
      <c r="E140" s="230"/>
      <c r="F140" s="230"/>
      <c r="G140" s="230"/>
      <c r="H140" s="230">
        <v>93</v>
      </c>
      <c r="I140" s="230">
        <v>201</v>
      </c>
    </row>
    <row r="141" spans="1:15" x14ac:dyDescent="0.25">
      <c r="A141" s="232">
        <v>159</v>
      </c>
      <c r="B141" s="231" t="s">
        <v>115</v>
      </c>
      <c r="C141" s="230">
        <v>299</v>
      </c>
      <c r="D141" s="230">
        <v>243</v>
      </c>
      <c r="E141" s="230"/>
      <c r="F141" s="230">
        <v>76</v>
      </c>
      <c r="G141" s="230">
        <v>85</v>
      </c>
      <c r="H141" s="230">
        <v>241</v>
      </c>
      <c r="I141" s="230">
        <v>94</v>
      </c>
    </row>
    <row r="142" spans="1:15" x14ac:dyDescent="0.25">
      <c r="A142" s="232">
        <v>160</v>
      </c>
      <c r="B142" s="231" t="s">
        <v>114</v>
      </c>
      <c r="C142" s="230"/>
      <c r="D142" s="230"/>
      <c r="E142" s="230"/>
      <c r="F142" s="230"/>
      <c r="G142" s="230"/>
      <c r="H142" s="230"/>
      <c r="I142" s="230">
        <v>114</v>
      </c>
    </row>
    <row r="143" spans="1:15" s="227" customFormat="1" x14ac:dyDescent="0.25">
      <c r="A143" s="229" t="s">
        <v>113</v>
      </c>
      <c r="B143" s="228"/>
      <c r="C143" s="228">
        <v>413</v>
      </c>
      <c r="D143" s="228">
        <v>263</v>
      </c>
      <c r="E143" s="228">
        <v>270</v>
      </c>
      <c r="F143" s="228">
        <v>81</v>
      </c>
      <c r="G143" s="228">
        <v>93</v>
      </c>
      <c r="H143" s="228">
        <v>111</v>
      </c>
      <c r="I143" s="228">
        <v>196</v>
      </c>
      <c r="K143"/>
      <c r="L143"/>
      <c r="M143"/>
      <c r="N143"/>
      <c r="O143"/>
    </row>
    <row r="145" spans="11:15" x14ac:dyDescent="0.25">
      <c r="K145" s="227"/>
      <c r="L145" s="227"/>
      <c r="M145" s="227"/>
      <c r="N145" s="227"/>
      <c r="O145" s="227"/>
    </row>
  </sheetData>
  <autoFilter ref="A7:O7"/>
  <hyperlinks>
    <hyperlink ref="B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0"/>
  <sheetViews>
    <sheetView showGridLines="0" workbookViewId="0">
      <selection activeCell="A2" sqref="A2"/>
    </sheetView>
  </sheetViews>
  <sheetFormatPr defaultRowHeight="12" x14ac:dyDescent="0.25"/>
  <cols>
    <col min="1" max="1" width="24.140625" customWidth="1"/>
  </cols>
  <sheetData>
    <row r="1" spans="1:16" ht="14.4" x14ac:dyDescent="0.25">
      <c r="A1" s="80" t="s">
        <v>39</v>
      </c>
      <c r="B1" s="46"/>
      <c r="C1" s="46"/>
      <c r="D1" s="46"/>
      <c r="E1" s="46"/>
      <c r="F1" s="46"/>
      <c r="G1" s="46"/>
      <c r="H1" s="4"/>
      <c r="I1" s="4"/>
      <c r="J1" s="4"/>
      <c r="K1" s="6"/>
      <c r="L1" s="4"/>
      <c r="M1" s="4"/>
      <c r="N1" s="4"/>
      <c r="O1" s="4"/>
      <c r="P1" s="4"/>
    </row>
    <row r="2" spans="1:16" x14ac:dyDescent="0.25">
      <c r="A2" s="359" t="s">
        <v>264</v>
      </c>
      <c r="B2" s="4"/>
      <c r="C2" s="4"/>
      <c r="D2" s="4"/>
      <c r="E2" s="4"/>
      <c r="F2" s="4"/>
      <c r="G2" s="4"/>
      <c r="H2" s="4"/>
      <c r="I2" s="4"/>
      <c r="J2" s="4"/>
      <c r="K2" s="6"/>
      <c r="L2" s="4"/>
      <c r="M2" s="4"/>
      <c r="N2" s="4"/>
      <c r="O2" s="4"/>
      <c r="P2" s="4"/>
    </row>
    <row r="3" spans="1:16" x14ac:dyDescent="0.25">
      <c r="A3" s="245"/>
      <c r="B3" s="4"/>
      <c r="C3" s="4"/>
      <c r="D3" s="4"/>
      <c r="E3" s="4"/>
      <c r="F3" s="4"/>
      <c r="G3" s="4"/>
      <c r="H3" s="4"/>
      <c r="I3" s="4"/>
      <c r="J3" s="4"/>
      <c r="K3" s="6"/>
      <c r="L3" s="4"/>
      <c r="M3" s="4"/>
      <c r="N3" s="4"/>
      <c r="O3" s="4"/>
      <c r="P3" s="4"/>
    </row>
    <row r="4" spans="1:16" ht="40.799999999999997" x14ac:dyDescent="0.25">
      <c r="A4" s="90" t="s">
        <v>11</v>
      </c>
      <c r="B4" s="47" t="s">
        <v>42</v>
      </c>
      <c r="C4" s="48" t="s">
        <v>10</v>
      </c>
      <c r="D4" s="338" t="s">
        <v>43</v>
      </c>
      <c r="E4" s="339"/>
      <c r="F4" s="338" t="s">
        <v>44</v>
      </c>
      <c r="G4" s="339"/>
      <c r="H4" s="49"/>
      <c r="I4" s="49"/>
      <c r="J4" s="49"/>
      <c r="K4" s="50"/>
      <c r="L4" s="49"/>
      <c r="M4" s="49"/>
      <c r="N4" s="49"/>
      <c r="O4" s="49"/>
      <c r="P4" s="49"/>
    </row>
    <row r="5" spans="1:16" ht="24" x14ac:dyDescent="0.25">
      <c r="A5" s="51"/>
      <c r="B5" s="91" t="s">
        <v>11</v>
      </c>
      <c r="C5" s="52" t="s">
        <v>45</v>
      </c>
      <c r="D5" s="53" t="s">
        <v>8</v>
      </c>
      <c r="E5" s="53" t="s">
        <v>45</v>
      </c>
      <c r="F5" s="53" t="s">
        <v>8</v>
      </c>
      <c r="G5" s="53" t="s">
        <v>45</v>
      </c>
      <c r="H5" s="54"/>
      <c r="I5" s="54"/>
      <c r="J5" s="54"/>
      <c r="K5" s="55"/>
      <c r="L5" s="54"/>
      <c r="M5" s="54"/>
      <c r="N5" s="54"/>
      <c r="O5" s="54"/>
      <c r="P5" s="54"/>
    </row>
    <row r="6" spans="1:16" x14ac:dyDescent="0.25">
      <c r="A6" s="86" t="s">
        <v>14</v>
      </c>
      <c r="B6" s="56">
        <f>+G6-F6</f>
        <v>3.2392926158093616</v>
      </c>
      <c r="C6" s="56">
        <f>+'GVA-productivity1'!S$34</f>
        <v>0.48732110774606419</v>
      </c>
      <c r="D6" s="34">
        <f>+'GVA-productivity1'!R$8</f>
        <v>22691.629364848362</v>
      </c>
      <c r="E6" s="34">
        <f>+'GVA-productivity1'!S$8</f>
        <v>26154.355605013887</v>
      </c>
      <c r="F6" s="56">
        <f>(+D6/D$16)*100</f>
        <v>71.713455894820925</v>
      </c>
      <c r="G6" s="56">
        <f>(+E6/E$16)*100</f>
        <v>74.952748510630286</v>
      </c>
      <c r="H6" s="4"/>
      <c r="I6" s="4"/>
      <c r="J6" s="4"/>
      <c r="K6" s="6"/>
      <c r="L6" s="4"/>
      <c r="M6" s="4"/>
      <c r="N6" s="4"/>
      <c r="O6" s="4"/>
      <c r="P6" s="4"/>
    </row>
    <row r="7" spans="1:16" s="242" customFormat="1" x14ac:dyDescent="0.25">
      <c r="A7" s="239" t="s">
        <v>19</v>
      </c>
      <c r="B7" s="248">
        <f t="shared" ref="B7:B16" si="0">+G7-F7</f>
        <v>-3.3315124844600918E-2</v>
      </c>
      <c r="C7" s="240">
        <f>+'GVA-productivity1'!S$36</f>
        <v>165.12077540562524</v>
      </c>
      <c r="D7" s="241">
        <f>+'GVA-productivity1'!R$10</f>
        <v>96.393514593385675</v>
      </c>
      <c r="E7" s="241">
        <f>+'GVA-productivity1'!S$10</f>
        <v>94.676331952607555</v>
      </c>
      <c r="F7" s="240">
        <f t="shared" ref="F7:F16" si="1">(+D7/D$16)*100</f>
        <v>0.30463709530035044</v>
      </c>
      <c r="G7" s="240">
        <f t="shared" ref="G7:G16" si="2">(+E7/E$16)*100</f>
        <v>0.27132197045574952</v>
      </c>
      <c r="H7" s="36" t="s">
        <v>111</v>
      </c>
      <c r="I7" s="36"/>
      <c r="J7" s="36"/>
      <c r="K7" s="42"/>
      <c r="L7" s="36"/>
      <c r="M7" s="36"/>
      <c r="N7" s="36"/>
      <c r="O7" s="36"/>
      <c r="P7" s="36"/>
    </row>
    <row r="8" spans="1:16" s="247" customFormat="1" x14ac:dyDescent="0.25">
      <c r="A8" s="86" t="s">
        <v>20</v>
      </c>
      <c r="B8" s="243">
        <f t="shared" si="0"/>
        <v>-5.938881332382091</v>
      </c>
      <c r="C8" s="243">
        <f>+'GVA-productivity1'!S$37</f>
        <v>0.55681897958711912</v>
      </c>
      <c r="D8" s="244">
        <f>+'GVA-productivity1'!R$11</f>
        <v>3405.9122696377499</v>
      </c>
      <c r="E8" s="244">
        <f>+'GVA-productivity1'!S$11</f>
        <v>1683.6535185076202</v>
      </c>
      <c r="F8" s="243">
        <f t="shared" si="1"/>
        <v>10.763869592752288</v>
      </c>
      <c r="G8" s="243">
        <f t="shared" si="2"/>
        <v>4.8249882603701968</v>
      </c>
      <c r="I8" s="245"/>
      <c r="J8" s="245"/>
      <c r="K8" s="246"/>
      <c r="L8" s="245"/>
      <c r="M8" s="245"/>
      <c r="N8" s="245"/>
      <c r="O8" s="245"/>
      <c r="P8" s="245"/>
    </row>
    <row r="9" spans="1:16" x14ac:dyDescent="0.25">
      <c r="A9" s="86" t="s">
        <v>21</v>
      </c>
      <c r="B9" s="56">
        <f t="shared" si="0"/>
        <v>2.782853075490227E-3</v>
      </c>
      <c r="C9" s="56">
        <f>+'GVA-productivity1'!S$38</f>
        <v>0.68649531119028395</v>
      </c>
      <c r="D9" s="34">
        <f>+'GVA-productivity1'!R$12</f>
        <v>49.911367953685982</v>
      </c>
      <c r="E9" s="34">
        <f>+'GVA-productivity1'!S$12</f>
        <v>56.012643108580427</v>
      </c>
      <c r="F9" s="56">
        <f t="shared" si="1"/>
        <v>0.15773731479774489</v>
      </c>
      <c r="G9" s="56">
        <f t="shared" si="2"/>
        <v>0.16052016787323511</v>
      </c>
      <c r="H9" s="4"/>
      <c r="I9" s="4"/>
      <c r="J9" s="4"/>
      <c r="K9" s="6"/>
      <c r="L9" s="4"/>
      <c r="M9" s="4"/>
      <c r="N9" s="4"/>
      <c r="O9" s="4"/>
      <c r="P9" s="4"/>
    </row>
    <row r="10" spans="1:16" x14ac:dyDescent="0.25">
      <c r="A10" s="86" t="s">
        <v>22</v>
      </c>
      <c r="B10" s="56">
        <f t="shared" si="0"/>
        <v>0.26201447822285395</v>
      </c>
      <c r="C10" s="56">
        <f>+'GVA-productivity1'!S$39</f>
        <v>1.7429739728252533</v>
      </c>
      <c r="D10" s="34">
        <f>+'GVA-productivity1'!R$13</f>
        <v>203.46823429537108</v>
      </c>
      <c r="E10" s="34">
        <f>+'GVA-productivity1'!S$13</f>
        <v>315.81055012490287</v>
      </c>
      <c r="F10" s="56">
        <f t="shared" si="1"/>
        <v>0.64303052070565536</v>
      </c>
      <c r="G10" s="56">
        <f t="shared" si="2"/>
        <v>0.90504499892850931</v>
      </c>
      <c r="H10" s="4"/>
      <c r="I10" s="4"/>
      <c r="J10" s="4"/>
      <c r="K10" s="6"/>
      <c r="L10" s="4"/>
      <c r="M10" s="4"/>
      <c r="N10" s="4"/>
      <c r="O10" s="4"/>
      <c r="P10" s="4"/>
    </row>
    <row r="11" spans="1:16" x14ac:dyDescent="0.25">
      <c r="A11" s="87" t="s">
        <v>25</v>
      </c>
      <c r="B11" s="56">
        <f t="shared" si="0"/>
        <v>-1.1944445442326703</v>
      </c>
      <c r="C11" s="56">
        <f>+'GVA-productivity1'!S$43</f>
        <v>1.0816163578661127</v>
      </c>
      <c r="D11" s="34">
        <f>+'GVA-productivity1'!R$17</f>
        <v>3419.9189998757333</v>
      </c>
      <c r="E11" s="34">
        <f>+'GVA-productivity1'!S$17</f>
        <v>3354.6454697835329</v>
      </c>
      <c r="F11" s="56">
        <f t="shared" si="1"/>
        <v>10.808135741075171</v>
      </c>
      <c r="G11" s="56">
        <f t="shared" si="2"/>
        <v>9.6136911968425007</v>
      </c>
      <c r="H11" s="4"/>
      <c r="I11" s="4"/>
      <c r="J11" s="4"/>
      <c r="K11" s="6"/>
      <c r="L11" s="4"/>
      <c r="M11" s="4"/>
      <c r="N11" s="4"/>
      <c r="O11" s="4"/>
      <c r="P11" s="4"/>
    </row>
    <row r="12" spans="1:16" x14ac:dyDescent="0.25">
      <c r="A12" s="87" t="s">
        <v>26</v>
      </c>
      <c r="B12" s="56">
        <f t="shared" si="0"/>
        <v>0.19245100508052837</v>
      </c>
      <c r="C12" s="56">
        <f>+'GVA-productivity1'!S$44</f>
        <v>0.8275663175965422</v>
      </c>
      <c r="D12" s="34">
        <f>+'GVA-productivity1'!R$18</f>
        <v>177.70332253836946</v>
      </c>
      <c r="E12" s="34">
        <f>+'GVA-productivity1'!S$18</f>
        <v>263.12355671513865</v>
      </c>
      <c r="F12" s="56">
        <f t="shared" si="1"/>
        <v>0.5616044215387993</v>
      </c>
      <c r="G12" s="56">
        <f t="shared" si="2"/>
        <v>0.75405542661932767</v>
      </c>
      <c r="H12" s="4"/>
      <c r="I12" s="4"/>
      <c r="J12" s="4"/>
      <c r="K12" s="6"/>
      <c r="L12" s="4"/>
      <c r="M12" s="4"/>
      <c r="N12" s="4"/>
      <c r="O12" s="4"/>
      <c r="P12" s="4"/>
    </row>
    <row r="13" spans="1:16" x14ac:dyDescent="0.25">
      <c r="A13" s="87" t="s">
        <v>46</v>
      </c>
      <c r="B13" s="56">
        <f t="shared" si="0"/>
        <v>0.66071159931360135</v>
      </c>
      <c r="C13" s="56">
        <f>+'GVA-productivity1'!S$46</f>
        <v>1.1033871793875791</v>
      </c>
      <c r="D13" s="34">
        <f>+'GVA-productivity1'!R$20</f>
        <v>189.1447836814113</v>
      </c>
      <c r="E13" s="34">
        <f>+'GVA-productivity1'!S$20</f>
        <v>439.13804332007874</v>
      </c>
      <c r="F13" s="56">
        <f t="shared" si="1"/>
        <v>0.59776342563062912</v>
      </c>
      <c r="G13" s="56">
        <f t="shared" si="2"/>
        <v>1.2584750249442305</v>
      </c>
      <c r="H13" s="4"/>
      <c r="I13" s="4"/>
      <c r="J13" s="4"/>
      <c r="K13" s="6"/>
      <c r="L13" s="4"/>
      <c r="M13" s="4"/>
      <c r="N13" s="4"/>
      <c r="O13" s="4"/>
      <c r="P13" s="4"/>
    </row>
    <row r="14" spans="1:16" x14ac:dyDescent="0.25">
      <c r="A14" s="86" t="s">
        <v>47</v>
      </c>
      <c r="B14" s="56">
        <f t="shared" si="0"/>
        <v>0.51695420445995577</v>
      </c>
      <c r="C14" s="56">
        <f>+'GVA-productivity1'!S$48</f>
        <v>0.33791983378730817</v>
      </c>
      <c r="D14" s="34">
        <f>+'GVA-productivity1'!R$24</f>
        <v>843.50582647000306</v>
      </c>
      <c r="E14" s="34">
        <f>+'GVA-productivity1'!S$24</f>
        <v>1110.5951877757916</v>
      </c>
      <c r="F14" s="56">
        <f t="shared" si="1"/>
        <v>2.6657723388205561</v>
      </c>
      <c r="G14" s="56">
        <f t="shared" si="2"/>
        <v>3.1827265432805119</v>
      </c>
      <c r="H14" s="4"/>
      <c r="I14" s="4"/>
      <c r="J14" s="4"/>
      <c r="K14" s="6"/>
      <c r="L14" s="4"/>
      <c r="M14" s="4"/>
      <c r="N14" s="4"/>
      <c r="O14" s="4"/>
      <c r="P14" s="4"/>
    </row>
    <row r="15" spans="1:16" x14ac:dyDescent="0.25">
      <c r="A15" s="87" t="s">
        <v>34</v>
      </c>
      <c r="B15" s="56">
        <f t="shared" si="0"/>
        <v>2.2924342454975735</v>
      </c>
      <c r="C15" s="56">
        <f>+'GVA-productivity1'!S$49</f>
        <v>0.19926514536641229</v>
      </c>
      <c r="D15" s="34">
        <f>+'GVA-productivity1'!R$25</f>
        <v>564.49270633173114</v>
      </c>
      <c r="E15" s="34">
        <f>+'GVA-productivity1'!S$25</f>
        <v>1422.4474354149838</v>
      </c>
      <c r="F15" s="56">
        <f t="shared" si="1"/>
        <v>1.7839936545578785</v>
      </c>
      <c r="G15" s="56">
        <f t="shared" si="2"/>
        <v>4.0764279000554522</v>
      </c>
      <c r="H15" s="4"/>
      <c r="I15" s="4"/>
      <c r="J15" s="4"/>
      <c r="K15" s="6"/>
      <c r="L15" s="4"/>
      <c r="M15" s="4"/>
      <c r="N15" s="4"/>
      <c r="O15" s="4"/>
      <c r="P15" s="4"/>
    </row>
    <row r="16" spans="1:16" x14ac:dyDescent="0.25">
      <c r="A16" s="88" t="s">
        <v>48</v>
      </c>
      <c r="B16" s="57">
        <f t="shared" si="0"/>
        <v>0</v>
      </c>
      <c r="C16" s="58">
        <f>+'GVA-productivity1'!S51</f>
        <v>172.14413961097787</v>
      </c>
      <c r="D16" s="34">
        <f>+'GVA-productivity1'!R$27</f>
        <v>31642.080390225805</v>
      </c>
      <c r="E16" s="34">
        <f>+'GVA-productivity1'!S$27</f>
        <v>34894.458341717123</v>
      </c>
      <c r="F16" s="56">
        <f t="shared" si="1"/>
        <v>100</v>
      </c>
      <c r="G16" s="56">
        <f t="shared" si="2"/>
        <v>100</v>
      </c>
      <c r="H16" s="9"/>
      <c r="I16" s="9"/>
      <c r="J16" s="9"/>
      <c r="K16" s="10"/>
      <c r="L16" s="9"/>
      <c r="M16" s="9"/>
      <c r="N16" s="9"/>
      <c r="O16" s="9"/>
      <c r="P16" s="9"/>
    </row>
    <row r="17" spans="1:16" x14ac:dyDescent="0.25">
      <c r="A17" s="59" t="s">
        <v>49</v>
      </c>
      <c r="B17" s="61">
        <f t="shared" ref="B17:G17" si="3">SUM(B6:B15)</f>
        <v>0</v>
      </c>
      <c r="C17" s="61">
        <f t="shared" si="3"/>
        <v>172.14413961097787</v>
      </c>
      <c r="D17" s="62">
        <f t="shared" si="3"/>
        <v>31642.080390225801</v>
      </c>
      <c r="E17" s="62">
        <f t="shared" si="3"/>
        <v>34894.458341717123</v>
      </c>
      <c r="F17" s="63">
        <f t="shared" si="3"/>
        <v>100</v>
      </c>
      <c r="G17" s="63">
        <f t="shared" si="3"/>
        <v>99.999999999999972</v>
      </c>
      <c r="H17" s="36"/>
      <c r="I17" s="36"/>
      <c r="J17" s="36"/>
      <c r="K17" s="42"/>
      <c r="L17" s="36"/>
      <c r="M17" s="36"/>
      <c r="N17" s="36"/>
      <c r="O17" s="36"/>
      <c r="P17" s="36"/>
    </row>
    <row r="18" spans="1:16" x14ac:dyDescent="0.25">
      <c r="A18" s="59"/>
      <c r="B18" s="61"/>
      <c r="C18" s="61"/>
      <c r="D18" s="62"/>
      <c r="E18" s="62"/>
      <c r="F18" s="63"/>
      <c r="G18" s="63"/>
      <c r="H18" s="36"/>
      <c r="I18" s="36"/>
      <c r="J18" s="36"/>
      <c r="K18" s="42"/>
      <c r="L18" s="36"/>
      <c r="M18" s="36"/>
      <c r="N18" s="36"/>
      <c r="O18" s="36"/>
      <c r="P18" s="36"/>
    </row>
    <row r="19" spans="1:16" x14ac:dyDescent="0.25">
      <c r="A19" s="4"/>
      <c r="B19" s="72"/>
      <c r="C19" s="4"/>
      <c r="D19" s="75"/>
      <c r="E19" s="4"/>
      <c r="F19" s="4"/>
      <c r="G19" s="4"/>
      <c r="H19" s="4"/>
      <c r="I19" s="4"/>
      <c r="J19" s="4"/>
      <c r="K19" s="6"/>
      <c r="L19" s="4"/>
      <c r="M19" s="4"/>
      <c r="N19" s="4"/>
      <c r="O19" s="4"/>
      <c r="P19" s="4"/>
    </row>
    <row r="20" spans="1:16" ht="40.799999999999997" x14ac:dyDescent="0.25">
      <c r="A20" s="90" t="s">
        <v>12</v>
      </c>
      <c r="B20" s="47" t="s">
        <v>42</v>
      </c>
      <c r="C20" s="48" t="s">
        <v>10</v>
      </c>
      <c r="D20" s="339" t="s">
        <v>43</v>
      </c>
      <c r="E20" s="339"/>
      <c r="F20" s="339" t="s">
        <v>44</v>
      </c>
      <c r="G20" s="339"/>
      <c r="H20" s="4"/>
      <c r="I20" s="4"/>
      <c r="J20" s="4"/>
      <c r="K20" s="6"/>
      <c r="L20" s="4"/>
      <c r="M20" s="4"/>
      <c r="N20" s="4"/>
      <c r="O20" s="4"/>
      <c r="P20" s="4"/>
    </row>
    <row r="21" spans="1:16" x14ac:dyDescent="0.25">
      <c r="A21" s="51"/>
      <c r="B21" s="52" t="s">
        <v>12</v>
      </c>
      <c r="C21" s="52">
        <v>2005</v>
      </c>
      <c r="D21" s="53">
        <v>2000</v>
      </c>
      <c r="E21" s="53">
        <v>2005</v>
      </c>
      <c r="F21" s="53">
        <v>2000</v>
      </c>
      <c r="G21" s="53">
        <v>2005</v>
      </c>
      <c r="H21" s="4"/>
      <c r="I21" s="4"/>
      <c r="J21" s="4"/>
      <c r="K21" s="6"/>
      <c r="L21" s="4"/>
      <c r="M21" s="4"/>
      <c r="N21" s="4"/>
      <c r="O21" s="4"/>
      <c r="P21" s="4"/>
    </row>
    <row r="22" spans="1:16" x14ac:dyDescent="0.25">
      <c r="A22" s="86" t="s">
        <v>14</v>
      </c>
      <c r="B22" s="56">
        <f>+G22-F22</f>
        <v>-7.0114102311996049</v>
      </c>
      <c r="C22" s="56">
        <f>+'GVA-productivity1'!T$34</f>
        <v>0.51780145182550386</v>
      </c>
      <c r="D22" s="34">
        <f>+'GVA-productivity1'!S$8</f>
        <v>26154.355605013887</v>
      </c>
      <c r="E22" s="34">
        <f>+'GVA-productivity1'!T$8</f>
        <v>28063.61792088583</v>
      </c>
      <c r="F22" s="56">
        <f>(+D22/D$32)*100</f>
        <v>74.952748510630286</v>
      </c>
      <c r="G22" s="56">
        <f>(+E22/E$32)*100</f>
        <v>67.941338279430681</v>
      </c>
      <c r="H22" s="4"/>
      <c r="I22" s="4"/>
      <c r="J22" s="4"/>
      <c r="K22" s="6"/>
      <c r="L22" s="4"/>
      <c r="M22" s="4"/>
      <c r="N22" s="4"/>
      <c r="O22" s="4"/>
      <c r="P22" s="4"/>
    </row>
    <row r="23" spans="1:16" s="242" customFormat="1" x14ac:dyDescent="0.25">
      <c r="A23" s="239" t="s">
        <v>19</v>
      </c>
      <c r="B23" s="248">
        <f t="shared" ref="B23:B31" si="4">+G23-F23</f>
        <v>9.6968986725883832E-3</v>
      </c>
      <c r="C23" s="240">
        <f>+'GVA-productivity1'!T$36</f>
        <v>148.98764060946493</v>
      </c>
      <c r="D23" s="241">
        <f>+'GVA-productivity1'!S$10</f>
        <v>94.676331952607555</v>
      </c>
      <c r="E23" s="241">
        <f>+'GVA-productivity1'!T$10</f>
        <v>116.07669750839618</v>
      </c>
      <c r="F23" s="240">
        <f>(+D23/D$32)*100</f>
        <v>0.27132197045574952</v>
      </c>
      <c r="G23" s="240">
        <f t="shared" ref="F23:G32" si="5">(+E23/E$32)*100</f>
        <v>0.2810188691283379</v>
      </c>
      <c r="H23" s="36" t="s">
        <v>111</v>
      </c>
      <c r="I23" s="36"/>
      <c r="J23" s="36"/>
      <c r="K23" s="42"/>
      <c r="L23" s="36"/>
      <c r="M23" s="36"/>
      <c r="N23" s="36"/>
      <c r="O23" s="36"/>
      <c r="P23" s="36"/>
    </row>
    <row r="24" spans="1:16" x14ac:dyDescent="0.25">
      <c r="A24" s="86" t="s">
        <v>20</v>
      </c>
      <c r="B24" s="56">
        <f t="shared" si="4"/>
        <v>-0.33685050540371275</v>
      </c>
      <c r="C24" s="56">
        <f>+'GVA-productivity1'!T$37</f>
        <v>0.66766651173934999</v>
      </c>
      <c r="D24" s="34">
        <f>+'GVA-productivity1'!S$11</f>
        <v>1683.6535185076202</v>
      </c>
      <c r="E24" s="34">
        <f>+'GVA-productivity1'!T$11</f>
        <v>1853.8549036767247</v>
      </c>
      <c r="F24" s="56">
        <f t="shared" si="5"/>
        <v>4.8249882603701968</v>
      </c>
      <c r="G24" s="56">
        <f t="shared" si="5"/>
        <v>4.488137754966484</v>
      </c>
      <c r="H24" s="4"/>
      <c r="I24" s="4"/>
      <c r="J24" s="4"/>
      <c r="K24" s="6"/>
      <c r="L24" s="4"/>
      <c r="M24" s="4"/>
      <c r="N24" s="4"/>
      <c r="O24" s="4"/>
      <c r="P24" s="4"/>
    </row>
    <row r="25" spans="1:16" x14ac:dyDescent="0.25">
      <c r="A25" s="86" t="s">
        <v>21</v>
      </c>
      <c r="B25" s="56">
        <f t="shared" si="4"/>
        <v>8.704432522787342E-2</v>
      </c>
      <c r="C25" s="56">
        <f>+'GVA-productivity1'!T$38</f>
        <v>0.60920960683430592</v>
      </c>
      <c r="D25" s="34">
        <f>+'GVA-productivity1'!S$12</f>
        <v>56.012643108580427</v>
      </c>
      <c r="E25" s="34">
        <f>+'GVA-productivity1'!T$12</f>
        <v>102.25814682356157</v>
      </c>
      <c r="F25" s="56">
        <f t="shared" si="5"/>
        <v>0.16052016787323511</v>
      </c>
      <c r="G25" s="56">
        <f t="shared" si="5"/>
        <v>0.24756449310110853</v>
      </c>
      <c r="H25" s="4"/>
      <c r="I25" s="4"/>
      <c r="J25" s="4"/>
      <c r="K25" s="6"/>
      <c r="L25" s="4"/>
      <c r="M25" s="4"/>
      <c r="N25" s="4"/>
      <c r="O25" s="4"/>
      <c r="P25" s="4"/>
    </row>
    <row r="26" spans="1:16" x14ac:dyDescent="0.25">
      <c r="A26" s="86" t="s">
        <v>22</v>
      </c>
      <c r="B26" s="56">
        <f t="shared" si="4"/>
        <v>0.13522773073176653</v>
      </c>
      <c r="C26" s="56">
        <f>+'GVA-productivity1'!T$39</f>
        <v>1.4716784188298231</v>
      </c>
      <c r="D26" s="34">
        <f>+'GVA-productivity1'!S$13</f>
        <v>315.81055012490287</v>
      </c>
      <c r="E26" s="34">
        <f>+'GVA-productivity1'!T$13</f>
        <v>429.69151267868682</v>
      </c>
      <c r="F26" s="56">
        <f t="shared" si="5"/>
        <v>0.90504499892850931</v>
      </c>
      <c r="G26" s="56">
        <f t="shared" si="5"/>
        <v>1.0402727296602758</v>
      </c>
      <c r="H26" s="4"/>
      <c r="I26" s="4"/>
      <c r="J26" s="4"/>
      <c r="K26" s="6"/>
      <c r="L26" s="4"/>
      <c r="M26" s="4"/>
      <c r="N26" s="4"/>
      <c r="O26" s="4"/>
      <c r="P26" s="4"/>
    </row>
    <row r="27" spans="1:16" x14ac:dyDescent="0.25">
      <c r="A27" s="87" t="s">
        <v>25</v>
      </c>
      <c r="B27" s="56">
        <f t="shared" si="4"/>
        <v>3.6627950364721098</v>
      </c>
      <c r="C27" s="56">
        <f>+'GVA-productivity1'!T$43</f>
        <v>1.0369599200475046</v>
      </c>
      <c r="D27" s="34">
        <f>+'GVA-productivity1'!S$17</f>
        <v>3354.6454697835329</v>
      </c>
      <c r="E27" s="34">
        <f>+'GVA-productivity1'!T$17</f>
        <v>5483.9402110576739</v>
      </c>
      <c r="F27" s="56">
        <f t="shared" si="5"/>
        <v>9.6136911968425007</v>
      </c>
      <c r="G27" s="56">
        <f t="shared" si="5"/>
        <v>13.276486233314611</v>
      </c>
      <c r="H27" s="4"/>
      <c r="I27" s="4"/>
      <c r="J27" s="4"/>
      <c r="K27" s="6"/>
      <c r="L27" s="4"/>
      <c r="M27" s="4"/>
      <c r="N27" s="4"/>
      <c r="O27" s="4"/>
      <c r="P27" s="4"/>
    </row>
    <row r="28" spans="1:16" x14ac:dyDescent="0.25">
      <c r="A28" s="87" t="s">
        <v>26</v>
      </c>
      <c r="B28" s="56">
        <f t="shared" si="4"/>
        <v>1.1289967302020916</v>
      </c>
      <c r="C28" s="56">
        <f>+'GVA-productivity1'!T$44</f>
        <v>0.69703039507489695</v>
      </c>
      <c r="D28" s="34">
        <f>+'GVA-productivity1'!S$18</f>
        <v>263.12355671513865</v>
      </c>
      <c r="E28" s="34">
        <f>+'GVA-productivity1'!T$18</f>
        <v>777.80711408411082</v>
      </c>
      <c r="F28" s="56">
        <f t="shared" si="5"/>
        <v>0.75405542661932767</v>
      </c>
      <c r="G28" s="56">
        <f t="shared" si="5"/>
        <v>1.8830521568214194</v>
      </c>
      <c r="H28" s="4"/>
      <c r="I28" s="4"/>
      <c r="J28" s="4"/>
      <c r="K28" s="6"/>
      <c r="L28" s="4"/>
      <c r="M28" s="4"/>
      <c r="N28" s="4"/>
      <c r="O28" s="4"/>
      <c r="P28" s="4"/>
    </row>
    <row r="29" spans="1:16" x14ac:dyDescent="0.25">
      <c r="A29" s="87" t="s">
        <v>46</v>
      </c>
      <c r="B29" s="56">
        <f t="shared" si="4"/>
        <v>0.49346900851073827</v>
      </c>
      <c r="C29" s="56">
        <f>+'GVA-productivity1'!T$46</f>
        <v>0.6672703853543035</v>
      </c>
      <c r="D29" s="34">
        <f>+'GVA-productivity1'!S$20</f>
        <v>439.13804332007874</v>
      </c>
      <c r="E29" s="34">
        <f>+'GVA-productivity1'!T$20</f>
        <v>723.65203893166313</v>
      </c>
      <c r="F29" s="56">
        <f t="shared" si="5"/>
        <v>1.2584750249442305</v>
      </c>
      <c r="G29" s="56">
        <f t="shared" si="5"/>
        <v>1.7519440334549687</v>
      </c>
      <c r="H29" s="4"/>
      <c r="I29" s="4"/>
      <c r="J29" s="4"/>
      <c r="K29" s="6"/>
      <c r="L29" s="4"/>
      <c r="M29" s="4"/>
      <c r="N29" s="4"/>
      <c r="O29" s="4"/>
      <c r="P29" s="4"/>
    </row>
    <row r="30" spans="1:16" x14ac:dyDescent="0.25">
      <c r="A30" s="86" t="s">
        <v>47</v>
      </c>
      <c r="B30" s="56">
        <f t="shared" si="4"/>
        <v>0.74345797692987547</v>
      </c>
      <c r="C30" s="56">
        <f>+'GVA-productivity1'!T$48</f>
        <v>0.27824505933004889</v>
      </c>
      <c r="D30" s="34">
        <f>+'GVA-productivity1'!S$24</f>
        <v>1110.5951877757916</v>
      </c>
      <c r="E30" s="34">
        <f>+'GVA-productivity1'!T$24</f>
        <v>1621.7364133882359</v>
      </c>
      <c r="F30" s="56">
        <f t="shared" si="5"/>
        <v>3.1827265432805119</v>
      </c>
      <c r="G30" s="56">
        <f t="shared" si="5"/>
        <v>3.9261845202103873</v>
      </c>
      <c r="H30" s="4"/>
      <c r="I30" s="4"/>
      <c r="J30" s="4"/>
      <c r="K30" s="6"/>
      <c r="L30" s="4"/>
      <c r="M30" s="4"/>
      <c r="N30" s="4"/>
      <c r="O30" s="4"/>
      <c r="P30" s="4"/>
    </row>
    <row r="31" spans="1:16" x14ac:dyDescent="0.25">
      <c r="A31" s="87" t="s">
        <v>34</v>
      </c>
      <c r="B31" s="56">
        <f t="shared" si="4"/>
        <v>1.0875730298562791</v>
      </c>
      <c r="C31" s="56">
        <f>+'GVA-productivity1'!T$49</f>
        <v>0.1804807464204746</v>
      </c>
      <c r="D31" s="34">
        <f>+'GVA-productivity1'!S$25</f>
        <v>1422.4474354149838</v>
      </c>
      <c r="E31" s="34">
        <f>+'GVA-productivity1'!T$25</f>
        <v>2133.0246461161751</v>
      </c>
      <c r="F31" s="56">
        <f t="shared" si="5"/>
        <v>4.0764279000554522</v>
      </c>
      <c r="G31" s="56">
        <f t="shared" si="5"/>
        <v>5.1640009299117313</v>
      </c>
      <c r="H31" s="4"/>
      <c r="I31" s="4"/>
      <c r="J31" s="4"/>
      <c r="K31" s="6"/>
      <c r="L31" s="4"/>
      <c r="M31" s="4"/>
      <c r="N31" s="4"/>
      <c r="O31" s="4"/>
      <c r="P31" s="4"/>
    </row>
    <row r="32" spans="1:16" x14ac:dyDescent="0.25">
      <c r="A32" s="88" t="s">
        <v>48</v>
      </c>
      <c r="B32" s="56">
        <f>+G32-F32</f>
        <v>0</v>
      </c>
      <c r="C32" s="58">
        <f>+'GVA-productivity1'!T51</f>
        <v>155.11398310492115</v>
      </c>
      <c r="D32" s="34">
        <f>+'GVA-productivity1'!S$27</f>
        <v>34894.458341717123</v>
      </c>
      <c r="E32" s="34">
        <f>+'GVA-productivity1'!T$27</f>
        <v>41305.659605151057</v>
      </c>
      <c r="F32" s="56">
        <f t="shared" si="5"/>
        <v>100</v>
      </c>
      <c r="G32" s="56">
        <f t="shared" si="5"/>
        <v>100</v>
      </c>
      <c r="H32" s="4"/>
      <c r="I32" s="4"/>
      <c r="J32" s="4"/>
      <c r="K32" s="6"/>
      <c r="L32" s="4"/>
      <c r="M32" s="4"/>
      <c r="N32" s="4"/>
      <c r="O32" s="4"/>
      <c r="P32" s="4"/>
    </row>
    <row r="33" spans="1:16" x14ac:dyDescent="0.25">
      <c r="A33" s="59" t="s">
        <v>49</v>
      </c>
      <c r="B33" s="44">
        <v>-3.1225022567582528E-16</v>
      </c>
      <c r="C33" s="61">
        <f>SUM(C22:C31)</f>
        <v>155.11398310492115</v>
      </c>
      <c r="D33" s="62">
        <f>SUM(D22:D31)</f>
        <v>34894.458341717123</v>
      </c>
      <c r="E33" s="62">
        <f>SUM(E22:E31)</f>
        <v>41305.659605151064</v>
      </c>
      <c r="F33" s="60">
        <f>SUM(F22:F31)</f>
        <v>99.999999999999972</v>
      </c>
      <c r="G33" s="60">
        <f>SUM(G22:G31)</f>
        <v>100.00000000000001</v>
      </c>
      <c r="H33" s="4"/>
      <c r="I33" s="4"/>
      <c r="J33" s="4"/>
      <c r="K33" s="6"/>
      <c r="L33" s="4"/>
      <c r="M33" s="4"/>
      <c r="N33" s="4"/>
      <c r="O33" s="4"/>
      <c r="P33" s="4"/>
    </row>
    <row r="34" spans="1:16" x14ac:dyDescent="0.25">
      <c r="A34" s="59"/>
      <c r="B34" s="44"/>
      <c r="C34" s="61"/>
      <c r="D34" s="62"/>
      <c r="E34" s="62"/>
      <c r="F34" s="60"/>
      <c r="G34" s="60"/>
      <c r="H34" s="4"/>
      <c r="I34" s="4"/>
      <c r="J34" s="4"/>
      <c r="K34" s="6"/>
      <c r="L34" s="4"/>
      <c r="M34" s="4"/>
      <c r="N34" s="4"/>
      <c r="O34" s="4"/>
      <c r="P34" s="4"/>
    </row>
    <row r="35" spans="1:16" x14ac:dyDescent="0.25">
      <c r="A35" s="59"/>
      <c r="B35" s="44"/>
      <c r="C35" s="61"/>
      <c r="D35" s="62"/>
      <c r="E35" s="62"/>
      <c r="F35" s="60"/>
      <c r="G35" s="60"/>
      <c r="H35" s="4"/>
      <c r="I35" s="4"/>
      <c r="J35" s="4"/>
      <c r="K35" s="6"/>
      <c r="L35" s="4"/>
      <c r="M35" s="4"/>
      <c r="N35" s="4"/>
      <c r="O35" s="4"/>
      <c r="P35" s="4"/>
    </row>
    <row r="36" spans="1:16" x14ac:dyDescent="0.25">
      <c r="A36" s="4"/>
      <c r="B36" s="72"/>
      <c r="C36" s="4"/>
      <c r="D36" s="4"/>
      <c r="E36" s="4"/>
      <c r="F36" s="4"/>
      <c r="G36" s="4"/>
      <c r="H36" s="4"/>
      <c r="I36" s="4"/>
      <c r="J36" s="4"/>
      <c r="K36" s="6"/>
      <c r="L36" s="4"/>
      <c r="M36" s="4"/>
      <c r="N36" s="4"/>
      <c r="O36" s="4"/>
      <c r="P36" s="4"/>
    </row>
    <row r="37" spans="1:16" ht="51" x14ac:dyDescent="0.25">
      <c r="A37" s="90" t="s">
        <v>13</v>
      </c>
      <c r="B37" s="92" t="s">
        <v>42</v>
      </c>
      <c r="C37" s="93" t="s">
        <v>10</v>
      </c>
      <c r="D37" s="340" t="s">
        <v>43</v>
      </c>
      <c r="E37" s="340"/>
      <c r="F37" s="340" t="s">
        <v>44</v>
      </c>
      <c r="G37" s="340"/>
      <c r="H37" s="36"/>
      <c r="I37" s="36"/>
      <c r="J37" s="36"/>
      <c r="K37" s="42"/>
      <c r="L37" s="36"/>
      <c r="M37" s="36"/>
      <c r="N37" s="36"/>
      <c r="O37" s="36"/>
      <c r="P37" s="36"/>
    </row>
    <row r="38" spans="1:16" x14ac:dyDescent="0.25">
      <c r="A38" s="51"/>
      <c r="B38" s="94" t="s">
        <v>13</v>
      </c>
      <c r="C38" s="95">
        <v>2010</v>
      </c>
      <c r="D38" s="96">
        <v>2005</v>
      </c>
      <c r="E38" s="96">
        <v>2010</v>
      </c>
      <c r="F38" s="96">
        <v>2005</v>
      </c>
      <c r="G38" s="96">
        <v>2010</v>
      </c>
      <c r="H38" s="4"/>
      <c r="I38" s="4"/>
      <c r="J38" s="4"/>
      <c r="K38" s="6"/>
      <c r="L38" s="4"/>
      <c r="M38" s="4"/>
      <c r="N38" s="4"/>
      <c r="O38" s="4"/>
      <c r="P38" s="4"/>
    </row>
    <row r="39" spans="1:16" x14ac:dyDescent="0.25">
      <c r="A39" s="86" t="s">
        <v>14</v>
      </c>
      <c r="B39" s="56">
        <f t="shared" ref="B39:B49" si="6">+G39-F39</f>
        <v>-9.0643361382208596</v>
      </c>
      <c r="C39" s="56">
        <f>+'GVA-productivity1'!U$34</f>
        <v>0.63985701324964506</v>
      </c>
      <c r="D39" s="34">
        <f>+'GVA-productivity1'!T$8</f>
        <v>28063.61792088583</v>
      </c>
      <c r="E39" s="34">
        <f>+'GVA-productivity1'!U$8</f>
        <v>29704.440267824353</v>
      </c>
      <c r="F39" s="56">
        <f>(+D39/D$49)*100</f>
        <v>67.941338279430681</v>
      </c>
      <c r="G39" s="56">
        <f>(+E39/E$49)*100</f>
        <v>58.877002141209822</v>
      </c>
      <c r="H39" s="4"/>
      <c r="I39" s="4"/>
      <c r="J39" s="4"/>
      <c r="K39" s="6"/>
      <c r="L39" s="4"/>
      <c r="M39" s="4"/>
      <c r="N39" s="4"/>
      <c r="O39" s="4"/>
      <c r="P39" s="4"/>
    </row>
    <row r="40" spans="1:16" s="242" customFormat="1" x14ac:dyDescent="0.25">
      <c r="A40" s="239" t="s">
        <v>19</v>
      </c>
      <c r="B40" s="240">
        <f t="shared" si="6"/>
        <v>-8.123195096693156E-2</v>
      </c>
      <c r="C40" s="240">
        <f>+'GVA-productivity1'!U$36</f>
        <v>148.86670368674982</v>
      </c>
      <c r="D40" s="241">
        <f>+'GVA-productivity1'!T$10</f>
        <v>116.07669750839618</v>
      </c>
      <c r="E40" s="241">
        <f>+'GVA-productivity1'!U$10</f>
        <v>100.7958686922415</v>
      </c>
      <c r="F40" s="240">
        <f t="shared" ref="F40:G49" si="7">(+D40/D$49)*100</f>
        <v>0.2810188691283379</v>
      </c>
      <c r="G40" s="240">
        <f t="shared" si="7"/>
        <v>0.19978691816140634</v>
      </c>
      <c r="H40" s="36" t="s">
        <v>111</v>
      </c>
      <c r="I40" s="36"/>
      <c r="J40" s="36"/>
      <c r="K40" s="42"/>
      <c r="L40" s="36"/>
      <c r="M40" s="36"/>
      <c r="N40" s="36"/>
      <c r="O40" s="36"/>
      <c r="P40" s="36"/>
    </row>
    <row r="41" spans="1:16" x14ac:dyDescent="0.25">
      <c r="A41" s="86" t="s">
        <v>20</v>
      </c>
      <c r="B41" s="56">
        <f t="shared" si="6"/>
        <v>-0.48978461747046076</v>
      </c>
      <c r="C41" s="56">
        <f>+'GVA-productivity1'!U$37</f>
        <v>0.88655148907452808</v>
      </c>
      <c r="D41" s="34">
        <f>+'GVA-productivity1'!T$11</f>
        <v>1853.8549036767247</v>
      </c>
      <c r="E41" s="34">
        <f>+'GVA-productivity1'!U$11</f>
        <v>2017.236571549025</v>
      </c>
      <c r="F41" s="56">
        <f t="shared" si="7"/>
        <v>4.488137754966484</v>
      </c>
      <c r="G41" s="56">
        <f t="shared" si="7"/>
        <v>3.9983531374960233</v>
      </c>
      <c r="H41" s="4"/>
      <c r="I41" s="4"/>
      <c r="J41" s="4"/>
      <c r="K41" s="6"/>
      <c r="L41" s="4"/>
      <c r="M41" s="4"/>
      <c r="N41" s="4"/>
      <c r="O41" s="4"/>
      <c r="P41" s="4"/>
    </row>
    <row r="42" spans="1:16" x14ac:dyDescent="0.25">
      <c r="A42" s="86" t="s">
        <v>21</v>
      </c>
      <c r="B42" s="56">
        <f t="shared" si="6"/>
        <v>-8.0454553679042418E-3</v>
      </c>
      <c r="C42" s="56">
        <f>+'GVA-productivity1'!U$38</f>
        <v>0.59867995492610637</v>
      </c>
      <c r="D42" s="34">
        <f>+'GVA-productivity1'!T$12</f>
        <v>102.25814682356157</v>
      </c>
      <c r="E42" s="34">
        <f>+'GVA-productivity1'!U$12</f>
        <v>120.8413929141423</v>
      </c>
      <c r="F42" s="56">
        <f t="shared" si="7"/>
        <v>0.24756449310110853</v>
      </c>
      <c r="G42" s="56">
        <f t="shared" si="7"/>
        <v>0.23951903773320429</v>
      </c>
      <c r="H42" s="4"/>
      <c r="I42" s="4"/>
      <c r="J42" s="4"/>
      <c r="K42" s="6"/>
      <c r="L42" s="4"/>
      <c r="M42" s="4"/>
      <c r="N42" s="4"/>
      <c r="O42" s="4"/>
      <c r="P42" s="4"/>
    </row>
    <row r="43" spans="1:16" x14ac:dyDescent="0.25">
      <c r="A43" s="86" t="s">
        <v>22</v>
      </c>
      <c r="B43" s="56">
        <f t="shared" si="6"/>
        <v>0.53172147119710744</v>
      </c>
      <c r="C43" s="56">
        <f>+'GVA-productivity1'!U$39</f>
        <v>1.3760485171934849</v>
      </c>
      <c r="D43" s="34">
        <f>+'GVA-productivity1'!T$13</f>
        <v>429.69151267868682</v>
      </c>
      <c r="E43" s="34">
        <f>+'GVA-productivity1'!U$13</f>
        <v>793.09757872422324</v>
      </c>
      <c r="F43" s="56">
        <f t="shared" si="7"/>
        <v>1.0402727296602758</v>
      </c>
      <c r="G43" s="56">
        <f t="shared" si="7"/>
        <v>1.5719942008573833</v>
      </c>
      <c r="H43" s="4"/>
      <c r="I43" s="4"/>
      <c r="J43" s="4"/>
      <c r="K43" s="6"/>
      <c r="L43" s="4"/>
      <c r="M43" s="4"/>
      <c r="N43" s="4"/>
      <c r="O43" s="4"/>
      <c r="P43" s="4"/>
    </row>
    <row r="44" spans="1:16" x14ac:dyDescent="0.25">
      <c r="A44" s="87" t="s">
        <v>25</v>
      </c>
      <c r="B44" s="56">
        <f t="shared" si="6"/>
        <v>5.0381234721711934</v>
      </c>
      <c r="C44" s="56">
        <f>+'GVA-productivity1'!U$43</f>
        <v>1.1009041291507764</v>
      </c>
      <c r="D44" s="34">
        <f>+'GVA-productivity1'!T$17</f>
        <v>5483.9402110576739</v>
      </c>
      <c r="E44" s="34">
        <f>+'GVA-productivity1'!U$17</f>
        <v>9240.0293873715964</v>
      </c>
      <c r="F44" s="56">
        <f t="shared" si="7"/>
        <v>13.276486233314611</v>
      </c>
      <c r="G44" s="56">
        <f t="shared" si="7"/>
        <v>18.314609705485804</v>
      </c>
      <c r="H44" s="4"/>
      <c r="I44" s="4"/>
      <c r="J44" s="4"/>
      <c r="K44" s="6"/>
      <c r="L44" s="4"/>
      <c r="M44" s="4"/>
      <c r="N44" s="4"/>
      <c r="O44" s="4"/>
      <c r="P44" s="4"/>
    </row>
    <row r="45" spans="1:16" x14ac:dyDescent="0.25">
      <c r="A45" s="87" t="s">
        <v>26</v>
      </c>
      <c r="B45" s="56">
        <f t="shared" si="6"/>
        <v>1.2250570236536149</v>
      </c>
      <c r="C45" s="56">
        <f>+'GVA-productivity1'!U$44</f>
        <v>0.65012884146671857</v>
      </c>
      <c r="D45" s="34">
        <f>+'GVA-productivity1'!T$18</f>
        <v>777.80711408411082</v>
      </c>
      <c r="E45" s="34">
        <f>+'GVA-productivity1'!U$18</f>
        <v>1568.0934853963345</v>
      </c>
      <c r="F45" s="56">
        <f t="shared" si="7"/>
        <v>1.8830521568214194</v>
      </c>
      <c r="G45" s="56">
        <f t="shared" si="7"/>
        <v>3.1081091804750343</v>
      </c>
      <c r="H45" s="4"/>
      <c r="I45" s="4"/>
      <c r="J45" s="4"/>
      <c r="K45" s="6"/>
      <c r="L45" s="4"/>
      <c r="M45" s="4"/>
      <c r="N45" s="4"/>
      <c r="O45" s="4"/>
      <c r="P45" s="4"/>
    </row>
    <row r="46" spans="1:16" x14ac:dyDescent="0.25">
      <c r="A46" s="87" t="s">
        <v>46</v>
      </c>
      <c r="B46" s="56">
        <f t="shared" si="6"/>
        <v>0.92455021998122278</v>
      </c>
      <c r="C46" s="56">
        <f>+'GVA-productivity1'!U$46</f>
        <v>0.83475674885384921</v>
      </c>
      <c r="D46" s="34">
        <f>+'GVA-productivity1'!T$20</f>
        <v>723.65203893166313</v>
      </c>
      <c r="E46" s="34">
        <f>+'GVA-productivity1'!U$20</f>
        <v>1350.3364775212181</v>
      </c>
      <c r="F46" s="56">
        <f t="shared" si="7"/>
        <v>1.7519440334549687</v>
      </c>
      <c r="G46" s="56">
        <f t="shared" si="7"/>
        <v>2.6764942534361915</v>
      </c>
      <c r="H46" s="4"/>
      <c r="I46" s="4"/>
      <c r="J46" s="4"/>
      <c r="K46" s="6"/>
      <c r="L46" s="4"/>
      <c r="M46" s="4"/>
      <c r="N46" s="4"/>
      <c r="O46" s="4"/>
      <c r="P46" s="4"/>
    </row>
    <row r="47" spans="1:16" x14ac:dyDescent="0.25">
      <c r="A47" s="86" t="s">
        <v>47</v>
      </c>
      <c r="B47" s="56">
        <f t="shared" si="6"/>
        <v>0.51626411231343594</v>
      </c>
      <c r="C47" s="56">
        <f>+'GVA-productivity1'!U$48</f>
        <v>0.25371143763538623</v>
      </c>
      <c r="D47" s="34">
        <f>+'GVA-productivity1'!T$24</f>
        <v>1621.7364133882359</v>
      </c>
      <c r="E47" s="34">
        <f>+'GVA-productivity1'!U$24</f>
        <v>2241.2902364014676</v>
      </c>
      <c r="F47" s="56">
        <f t="shared" si="7"/>
        <v>3.9261845202103873</v>
      </c>
      <c r="G47" s="56">
        <f t="shared" si="7"/>
        <v>4.4424486325238233</v>
      </c>
      <c r="H47" s="4"/>
      <c r="I47" s="4"/>
      <c r="J47" s="4"/>
      <c r="K47" s="6"/>
      <c r="L47" s="4"/>
      <c r="M47" s="4"/>
      <c r="N47" s="4"/>
      <c r="O47" s="4"/>
      <c r="P47" s="4"/>
    </row>
    <row r="48" spans="1:16" x14ac:dyDescent="0.25">
      <c r="A48" s="87" t="s">
        <v>34</v>
      </c>
      <c r="B48" s="56">
        <f t="shared" si="6"/>
        <v>1.4076818627095893</v>
      </c>
      <c r="C48" s="56">
        <f>+'GVA-productivity1'!U$49</f>
        <v>0.18102110958547579</v>
      </c>
      <c r="D48" s="34">
        <f>+'GVA-productivity1'!T$25</f>
        <v>2133.0246461161751</v>
      </c>
      <c r="E48" s="34">
        <f>+'GVA-productivity1'!U$25</f>
        <v>3315.5247698298986</v>
      </c>
      <c r="F48" s="56">
        <f t="shared" si="7"/>
        <v>5.1640009299117313</v>
      </c>
      <c r="G48" s="56">
        <f t="shared" si="7"/>
        <v>6.5716827926213206</v>
      </c>
      <c r="H48" s="4"/>
      <c r="I48" s="4"/>
      <c r="J48" s="4"/>
      <c r="K48" s="6"/>
      <c r="L48" s="4"/>
      <c r="M48" s="4"/>
      <c r="N48" s="4"/>
      <c r="O48" s="4"/>
      <c r="P48" s="4"/>
    </row>
    <row r="49" spans="1:16" x14ac:dyDescent="0.25">
      <c r="A49" s="88" t="s">
        <v>48</v>
      </c>
      <c r="B49" s="56">
        <f t="shared" si="6"/>
        <v>0</v>
      </c>
      <c r="C49" s="58">
        <f>+'GVA-productivity1'!U51</f>
        <v>155.38836292788577</v>
      </c>
      <c r="D49" s="34">
        <f>+'GVA-productivity1'!T$27</f>
        <v>41305.659605151057</v>
      </c>
      <c r="E49" s="34">
        <f>+'GVA-productivity1'!U$27</f>
        <v>50451.686036224492</v>
      </c>
      <c r="F49" s="56">
        <f t="shared" si="7"/>
        <v>100</v>
      </c>
      <c r="G49" s="56">
        <f t="shared" si="7"/>
        <v>100</v>
      </c>
      <c r="H49" s="4"/>
      <c r="I49" s="4"/>
      <c r="J49" s="4"/>
      <c r="K49" s="6"/>
      <c r="L49" s="4"/>
      <c r="M49" s="4"/>
      <c r="N49" s="4"/>
      <c r="O49" s="4"/>
      <c r="P49" s="4"/>
    </row>
    <row r="50" spans="1:16" x14ac:dyDescent="0.25">
      <c r="A50" s="74" t="s">
        <v>49</v>
      </c>
      <c r="B50" s="44">
        <v>-3.1225022567582528E-16</v>
      </c>
      <c r="C50" s="61">
        <f>SUM(C39:C48)</f>
        <v>155.38836292788577</v>
      </c>
      <c r="D50" s="62">
        <f>SUM(D39:D48)</f>
        <v>41305.659605151064</v>
      </c>
      <c r="E50" s="62">
        <f>SUM(E39:E48)</f>
        <v>50451.686036224506</v>
      </c>
      <c r="F50" s="60">
        <f>SUM(F39:F48)</f>
        <v>100.00000000000001</v>
      </c>
      <c r="G50" s="60">
        <f>SUM(G39:G48)</f>
        <v>100.00000000000001</v>
      </c>
      <c r="H50" s="4"/>
      <c r="I50" s="4"/>
      <c r="J50" s="4"/>
      <c r="K50" s="6"/>
      <c r="L50" s="4"/>
      <c r="M50" s="4"/>
      <c r="N50" s="4"/>
      <c r="O50" s="4"/>
      <c r="P50" s="4"/>
    </row>
  </sheetData>
  <mergeCells count="6">
    <mergeCell ref="D4:E4"/>
    <mergeCell ref="F4:G4"/>
    <mergeCell ref="D20:E20"/>
    <mergeCell ref="F20:G20"/>
    <mergeCell ref="D37:E37"/>
    <mergeCell ref="F37:G3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4"/>
  <sheetViews>
    <sheetView showGridLines="0" workbookViewId="0">
      <selection activeCell="A2" sqref="A2"/>
    </sheetView>
  </sheetViews>
  <sheetFormatPr defaultRowHeight="12" x14ac:dyDescent="0.25"/>
  <cols>
    <col min="1" max="1" width="28.140625" customWidth="1"/>
    <col min="2" max="7" width="12.85546875" customWidth="1"/>
    <col min="8" max="8" width="3.42578125" customWidth="1"/>
  </cols>
  <sheetData>
    <row r="1" spans="1:7" ht="14.4" x14ac:dyDescent="0.3">
      <c r="A1" s="115" t="s">
        <v>50</v>
      </c>
      <c r="B1" s="98"/>
      <c r="C1" s="99"/>
      <c r="D1" s="99"/>
      <c r="E1" s="99"/>
      <c r="F1" s="99"/>
      <c r="G1" s="99"/>
    </row>
    <row r="2" spans="1:7" ht="11.25" customHeight="1" x14ac:dyDescent="0.25">
      <c r="A2" s="304" t="s">
        <v>264</v>
      </c>
      <c r="B2" s="98"/>
      <c r="C2" s="99"/>
      <c r="D2" s="99"/>
      <c r="E2" s="99"/>
      <c r="F2" s="99"/>
      <c r="G2" s="99"/>
    </row>
    <row r="3" spans="1:7" ht="24" x14ac:dyDescent="0.3">
      <c r="A3" s="97"/>
      <c r="B3" s="98"/>
      <c r="C3" s="99"/>
      <c r="D3" s="99"/>
      <c r="E3" s="112"/>
      <c r="F3" s="102" t="s">
        <v>54</v>
      </c>
      <c r="G3" s="102" t="s">
        <v>55</v>
      </c>
    </row>
    <row r="4" spans="1:7" ht="11.25" customHeight="1" x14ac:dyDescent="0.3">
      <c r="A4" s="97"/>
      <c r="B4" s="98"/>
      <c r="C4" s="99"/>
      <c r="D4" s="99"/>
      <c r="E4" s="101" t="s">
        <v>11</v>
      </c>
      <c r="F4" s="71">
        <f>+F21</f>
        <v>2.3536781090376456E-2</v>
      </c>
      <c r="G4" s="276">
        <f>+B10-F4</f>
        <v>-1.5271579704544479E-2</v>
      </c>
    </row>
    <row r="5" spans="1:7" ht="11.25" customHeight="1" x14ac:dyDescent="0.3">
      <c r="A5" s="97"/>
      <c r="B5" s="98"/>
      <c r="C5" s="99"/>
      <c r="D5" s="99"/>
      <c r="E5" s="101" t="s">
        <v>12</v>
      </c>
      <c r="F5" s="71">
        <f>+F35</f>
        <v>3.5866606353847266E-2</v>
      </c>
      <c r="G5" s="276">
        <f>+B24-F5</f>
        <v>-6.4455836383618542E-3</v>
      </c>
    </row>
    <row r="6" spans="1:7" ht="11.25" customHeight="1" x14ac:dyDescent="0.3">
      <c r="A6" s="97"/>
      <c r="B6" s="98"/>
      <c r="C6" s="99"/>
      <c r="D6" s="99"/>
      <c r="E6" s="101" t="s">
        <v>13</v>
      </c>
      <c r="F6" s="71">
        <f>+F49</f>
        <v>4.3037615347834839E-2</v>
      </c>
      <c r="G6" s="276">
        <f>+B38-F6</f>
        <v>-3.3615140747712262E-2</v>
      </c>
    </row>
    <row r="7" spans="1:7" s="135" customFormat="1" ht="11.25" customHeight="1" x14ac:dyDescent="0.3">
      <c r="A7" s="130"/>
      <c r="B7" s="131"/>
      <c r="C7" s="132"/>
      <c r="D7" s="132"/>
      <c r="E7" s="133"/>
      <c r="F7" s="134"/>
      <c r="G7" s="269"/>
    </row>
    <row r="8" spans="1:7" ht="49.8" customHeight="1" x14ac:dyDescent="0.25">
      <c r="A8" s="100"/>
      <c r="B8" s="136" t="s">
        <v>51</v>
      </c>
      <c r="C8" s="136" t="s">
        <v>52</v>
      </c>
      <c r="D8" s="136" t="s">
        <v>52</v>
      </c>
      <c r="E8" s="136" t="s">
        <v>53</v>
      </c>
      <c r="F8" s="137" t="s">
        <v>54</v>
      </c>
      <c r="G8" s="270"/>
    </row>
    <row r="9" spans="1:7" ht="12.6" customHeight="1" x14ac:dyDescent="0.25">
      <c r="A9" s="100"/>
      <c r="B9" s="138" t="s">
        <v>11</v>
      </c>
      <c r="C9" s="138" t="s">
        <v>8</v>
      </c>
      <c r="D9" s="138" t="s">
        <v>45</v>
      </c>
      <c r="E9" s="138" t="s">
        <v>56</v>
      </c>
      <c r="F9" s="102" t="s">
        <v>238</v>
      </c>
      <c r="G9" s="271"/>
    </row>
    <row r="10" spans="1:7" x14ac:dyDescent="0.25">
      <c r="A10" s="103" t="s">
        <v>37</v>
      </c>
      <c r="B10" s="66">
        <f>VLOOKUP(A10,'GVA-productivity1'!$A$55:$M$71,11,FALSE)</f>
        <v>8.2652013858319773E-3</v>
      </c>
      <c r="C10" s="66">
        <f>VLOOKUP($A10,'GVA-productivity1'!$A$34:$O$50,12,FALSE)/100</f>
        <v>1</v>
      </c>
      <c r="D10" s="66">
        <f>VLOOKUP($A10,'GVA-productivity1'!$A$34:$O$50,13,FALSE)/100</f>
        <v>1</v>
      </c>
      <c r="E10" s="104"/>
      <c r="F10" s="105"/>
      <c r="G10" s="272"/>
    </row>
    <row r="11" spans="1:7" x14ac:dyDescent="0.25">
      <c r="A11" s="106" t="s">
        <v>14</v>
      </c>
      <c r="B11" s="66">
        <f>VLOOKUP(A11,'GVA-productivity1'!$A$55:$M$71,11,FALSE)</f>
        <v>2.043659146984278E-2</v>
      </c>
      <c r="C11" s="66">
        <f>VLOOKUP($A11,'GVA-productivity1'!$A$34:$O$50,12,FALSE)/100</f>
        <v>0.71713455894820921</v>
      </c>
      <c r="D11" s="66">
        <f>VLOOKUP($A11,'GVA-productivity1'!$A$34:$O$50,13,FALSE)/100</f>
        <v>0.74952748510630285</v>
      </c>
      <c r="E11" s="67">
        <f>+D11-C11</f>
        <v>3.2392926158093638E-2</v>
      </c>
      <c r="F11" s="68">
        <f>+B11*C11</f>
        <v>1.4655786010130437E-2</v>
      </c>
      <c r="G11" s="273"/>
    </row>
    <row r="12" spans="1:7" x14ac:dyDescent="0.25">
      <c r="A12" s="107" t="s">
        <v>19</v>
      </c>
      <c r="B12" s="66">
        <f>VLOOKUP(A12,'GVA-productivity1'!$A$55:$M$71,11,FALSE)</f>
        <v>8.4694297743890257E-3</v>
      </c>
      <c r="C12" s="66">
        <f>VLOOKUP($A12,'GVA-productivity1'!$A$34:$O$50,12,FALSE)/100</f>
        <v>3.0463709530035043E-3</v>
      </c>
      <c r="D12" s="66">
        <f>VLOOKUP($A12,'GVA-productivity1'!$A$34:$O$50,13,FALSE)/100</f>
        <v>2.713219704557495E-3</v>
      </c>
      <c r="E12" s="67">
        <f t="shared" ref="E12:E20" si="0">+D12-C12</f>
        <v>-3.3315124844600927E-4</v>
      </c>
      <c r="F12" s="68">
        <f t="shared" ref="F12:F20" si="1">+B12*C12</f>
        <v>2.5801024853201751E-5</v>
      </c>
      <c r="G12" s="273"/>
    </row>
    <row r="13" spans="1:7" x14ac:dyDescent="0.25">
      <c r="A13" s="107" t="s">
        <v>20</v>
      </c>
      <c r="B13" s="66">
        <f>VLOOKUP(A13,'GVA-productivity1'!$A$55:$M$71,11,FALSE)</f>
        <v>6.7485896421816571E-2</v>
      </c>
      <c r="C13" s="66">
        <f>VLOOKUP($A13,'GVA-productivity1'!$A$34:$O$50,12,FALSE)/100</f>
        <v>0.10763869592752288</v>
      </c>
      <c r="D13" s="66">
        <f>VLOOKUP($A13,'GVA-productivity1'!$A$34:$O$50,13,FALSE)/100</f>
        <v>4.8249882603701971E-2</v>
      </c>
      <c r="E13" s="67">
        <f t="shared" si="0"/>
        <v>-5.9388813323820913E-2</v>
      </c>
      <c r="F13" s="68">
        <f t="shared" si="1"/>
        <v>7.2640938843442186E-3</v>
      </c>
      <c r="G13" s="273"/>
    </row>
    <row r="14" spans="1:7" x14ac:dyDescent="0.25">
      <c r="A14" s="107" t="s">
        <v>21</v>
      </c>
      <c r="B14" s="66">
        <f>VLOOKUP(A14,'GVA-productivity1'!$A$55:$M$71,11,FALSE)</f>
        <v>5.1222032499953496E-3</v>
      </c>
      <c r="C14" s="66">
        <f>VLOOKUP($A14,'GVA-productivity1'!$A$34:$O$50,12,FALSE)/100</f>
        <v>1.5773731479774488E-3</v>
      </c>
      <c r="D14" s="66">
        <f>VLOOKUP($A14,'GVA-productivity1'!$A$34:$O$50,13,FALSE)/100</f>
        <v>1.6052016787323512E-3</v>
      </c>
      <c r="E14" s="67">
        <f t="shared" si="0"/>
        <v>2.7828530754902409E-5</v>
      </c>
      <c r="F14" s="68">
        <f t="shared" si="1"/>
        <v>8.0796258650254836E-6</v>
      </c>
      <c r="G14" s="273"/>
    </row>
    <row r="15" spans="1:7" x14ac:dyDescent="0.25">
      <c r="A15" s="107" t="s">
        <v>22</v>
      </c>
      <c r="B15" s="66">
        <f>VLOOKUP(A15,'GVA-productivity1'!$A$55:$M$71,11,FALSE)</f>
        <v>-4.8296299330093939E-3</v>
      </c>
      <c r="C15" s="66">
        <f>VLOOKUP($A15,'GVA-productivity1'!$A$34:$O$50,12,FALSE)/100</f>
        <v>6.4303052070565532E-3</v>
      </c>
      <c r="D15" s="66">
        <f>VLOOKUP($A15,'GVA-productivity1'!$A$34:$O$50,13,FALSE)/100</f>
        <v>9.0504499892850934E-3</v>
      </c>
      <c r="E15" s="67">
        <f t="shared" si="0"/>
        <v>2.6201447822285402E-3</v>
      </c>
      <c r="F15" s="68">
        <f t="shared" si="1"/>
        <v>-3.1055994506386497E-5</v>
      </c>
      <c r="G15" s="273"/>
    </row>
    <row r="16" spans="1:7" x14ac:dyDescent="0.25">
      <c r="A16" s="107" t="s">
        <v>25</v>
      </c>
      <c r="B16" s="66">
        <f>VLOOKUP(A16,'GVA-productivity1'!$A$55:$M$71,11,FALSE)</f>
        <v>2.0776769353800351E-2</v>
      </c>
      <c r="C16" s="66">
        <f>VLOOKUP($A16,'GVA-productivity1'!$A$34:$O$50,12,FALSE)/100</f>
        <v>0.10808135741075171</v>
      </c>
      <c r="D16" s="66">
        <f>VLOOKUP($A16,'GVA-productivity1'!$A$34:$O$50,13,FALSE)/100</f>
        <v>9.6136911968425012E-2</v>
      </c>
      <c r="E16" s="67">
        <f t="shared" si="0"/>
        <v>-1.1944445442326701E-2</v>
      </c>
      <c r="F16" s="68">
        <f t="shared" si="1"/>
        <v>2.2455814343688486E-3</v>
      </c>
      <c r="G16" s="273"/>
    </row>
    <row r="17" spans="1:7" x14ac:dyDescent="0.25">
      <c r="A17" s="107" t="s">
        <v>26</v>
      </c>
      <c r="B17" s="66">
        <f>VLOOKUP(A17,'GVA-productivity1'!$A$55:$M$71,11,FALSE)</f>
        <v>-5.3213066743137416E-3</v>
      </c>
      <c r="C17" s="66">
        <f>VLOOKUP($A17,'GVA-productivity1'!$A$34:$O$50,12,FALSE)/100</f>
        <v>5.6160442153879928E-3</v>
      </c>
      <c r="D17" s="66">
        <f>VLOOKUP($A17,'GVA-productivity1'!$A$34:$O$50,13,FALSE)/100</f>
        <v>7.5405542661932771E-3</v>
      </c>
      <c r="E17" s="67">
        <f t="shared" si="0"/>
        <v>1.9245100508052844E-3</v>
      </c>
      <c r="F17" s="68">
        <f t="shared" si="1"/>
        <v>-2.9884693566585207E-5</v>
      </c>
      <c r="G17" s="273"/>
    </row>
    <row r="18" spans="1:7" x14ac:dyDescent="0.25">
      <c r="A18" s="107" t="s">
        <v>46</v>
      </c>
      <c r="B18" s="66">
        <f>VLOOKUP("Finance and business services",'GVA-productivity1'!$A$55:$M$71,11,FALSE)</f>
        <v>-8.4434607197988343E-2</v>
      </c>
      <c r="C18" s="66">
        <f>VLOOKUP("Finance and business services",'GVA-productivity1'!$A$34:$O$50,12,FALSE)/100</f>
        <v>5.9776342563062912E-3</v>
      </c>
      <c r="D18" s="66">
        <f>VLOOKUP("Finance and business services",'GVA-productivity1'!$A$34:$O$50,13,FALSE)/100</f>
        <v>1.2584750249442304E-2</v>
      </c>
      <c r="E18" s="67">
        <f t="shared" si="0"/>
        <v>6.6071159931360129E-3</v>
      </c>
      <c r="F18" s="68">
        <f t="shared" si="1"/>
        <v>-5.0471920040446087E-4</v>
      </c>
      <c r="G18" s="273"/>
    </row>
    <row r="19" spans="1:7" x14ac:dyDescent="0.25">
      <c r="A19" s="107" t="s">
        <v>33</v>
      </c>
      <c r="B19" s="66">
        <f>VLOOKUP(A19,'GVA-productivity1'!$A$55:$M$71,11,FALSE)</f>
        <v>-9.8162636088653388E-3</v>
      </c>
      <c r="C19" s="66">
        <f>VLOOKUP($A19,'GVA-productivity1'!$A$34:$O$50,12,FALSE)/100</f>
        <v>2.6657723388205559E-2</v>
      </c>
      <c r="D19" s="66">
        <f>VLOOKUP($A19,'GVA-productivity1'!$A$34:$O$50,13,FALSE)/100</f>
        <v>3.1827265432805119E-2</v>
      </c>
      <c r="E19" s="67">
        <f t="shared" si="0"/>
        <v>5.1695420445995593E-3</v>
      </c>
      <c r="F19" s="68">
        <f t="shared" si="1"/>
        <v>-2.6167923999084064E-4</v>
      </c>
      <c r="G19" s="273"/>
    </row>
    <row r="20" spans="1:7" x14ac:dyDescent="0.25">
      <c r="A20" s="108" t="s">
        <v>34</v>
      </c>
      <c r="B20" s="66">
        <f>VLOOKUP("Other services",'GVA-productivity1'!$A$55:$M$71,11,FALSE)</f>
        <v>9.2364812431930954E-3</v>
      </c>
      <c r="C20" s="66">
        <f>VLOOKUP("Other services",'GVA-productivity1'!$A$34:$O$50,12,FALSE)/100</f>
        <v>1.7839936545578784E-2</v>
      </c>
      <c r="D20" s="66">
        <f>VLOOKUP("Other services",'GVA-productivity1'!$A$34:$O$50,13,FALSE)/100</f>
        <v>4.0764279000554522E-2</v>
      </c>
      <c r="E20" s="67">
        <f t="shared" si="0"/>
        <v>2.2924342454975738E-2</v>
      </c>
      <c r="F20" s="68">
        <f t="shared" si="1"/>
        <v>1.6477823928299346E-4</v>
      </c>
      <c r="G20" s="273"/>
    </row>
    <row r="21" spans="1:7" x14ac:dyDescent="0.25">
      <c r="A21" s="109" t="s">
        <v>77</v>
      </c>
      <c r="B21" s="126">
        <f>SUM(B10:B20)</f>
        <v>3.5390765484692333E-2</v>
      </c>
      <c r="C21" s="126">
        <f>SUM(C11:C20)</f>
        <v>1</v>
      </c>
      <c r="D21" s="126">
        <f>SUM(D11:D20)</f>
        <v>1</v>
      </c>
      <c r="E21" s="70"/>
      <c r="F21" s="71">
        <f>SUM(F11:F20)</f>
        <v>2.3536781090376456E-2</v>
      </c>
      <c r="G21" s="274"/>
    </row>
    <row r="22" spans="1:7" x14ac:dyDescent="0.25">
      <c r="A22" s="110"/>
      <c r="B22" s="111"/>
      <c r="C22" s="111"/>
      <c r="D22" s="111"/>
      <c r="E22" s="110"/>
      <c r="F22" s="110"/>
      <c r="G22" s="275"/>
    </row>
    <row r="23" spans="1:7" x14ac:dyDescent="0.25">
      <c r="A23" s="100"/>
      <c r="B23" s="138" t="s">
        <v>12</v>
      </c>
      <c r="C23" s="138">
        <v>2000</v>
      </c>
      <c r="D23" s="138">
        <v>2005</v>
      </c>
      <c r="E23" s="138" t="s">
        <v>58</v>
      </c>
      <c r="F23" s="102" t="s">
        <v>238</v>
      </c>
      <c r="G23" s="271"/>
    </row>
    <row r="24" spans="1:7" x14ac:dyDescent="0.25">
      <c r="A24" s="103" t="s">
        <v>37</v>
      </c>
      <c r="B24" s="66">
        <f>VLOOKUP(A24,'GVA-productivity1'!$A$55:$M$71,12,FALSE)</f>
        <v>2.9421022715485412E-2</v>
      </c>
      <c r="C24" s="66">
        <f>VLOOKUP($A24,'GVA-productivity1'!$A$34:$O$50,13,FALSE)/100</f>
        <v>1</v>
      </c>
      <c r="D24" s="66">
        <f>VLOOKUP($A24,'GVA-productivity1'!$A$34:$O$50,14,FALSE)/100</f>
        <v>1</v>
      </c>
      <c r="E24" s="104"/>
      <c r="F24" s="105"/>
      <c r="G24" s="272"/>
    </row>
    <row r="25" spans="1:7" x14ac:dyDescent="0.25">
      <c r="A25" s="106" t="s">
        <v>14</v>
      </c>
      <c r="B25" s="66">
        <f>VLOOKUP(A25,'GVA-productivity1'!$A$55:$M$71,12,FALSE)</f>
        <v>4.198781732166168E-2</v>
      </c>
      <c r="C25" s="66">
        <f>VLOOKUP($A25,'GVA-productivity1'!$A$34:$O$50,13,FALSE)/100</f>
        <v>0.74952748510630285</v>
      </c>
      <c r="D25" s="66">
        <f>VLOOKUP($A25,'GVA-productivity1'!$A$34:$O$50,14,FALSE)/100</f>
        <v>0.67941338279430685</v>
      </c>
      <c r="E25" s="67">
        <f t="shared" ref="E25:E34" si="2">+D25-C25</f>
        <v>-7.0114102311995996E-2</v>
      </c>
      <c r="F25" s="68">
        <f t="shared" ref="F25:F34" si="3">+B25*C25</f>
        <v>3.1471023122207939E-2</v>
      </c>
      <c r="G25" s="273"/>
    </row>
    <row r="26" spans="1:7" x14ac:dyDescent="0.25">
      <c r="A26" s="107" t="s">
        <v>19</v>
      </c>
      <c r="B26" s="66">
        <f>VLOOKUP(A26,'GVA-productivity1'!$A$55:$M$71,12,FALSE)</f>
        <v>8.4694297743890257E-3</v>
      </c>
      <c r="C26" s="66">
        <f>VLOOKUP($A26,'GVA-productivity1'!$A$34:$O$50,13,FALSE)/100</f>
        <v>2.713219704557495E-3</v>
      </c>
      <c r="D26" s="66">
        <f>VLOOKUP($A26,'GVA-productivity1'!$A$34:$O$50,14,FALSE)/100</f>
        <v>2.810188691283379E-3</v>
      </c>
      <c r="E26" s="67">
        <f t="shared" si="2"/>
        <v>9.6968986725883954E-5</v>
      </c>
      <c r="F26" s="68">
        <f t="shared" si="3"/>
        <v>2.2979423750238246E-5</v>
      </c>
      <c r="G26" s="273"/>
    </row>
    <row r="27" spans="1:7" x14ac:dyDescent="0.25">
      <c r="A27" s="107" t="s">
        <v>20</v>
      </c>
      <c r="B27" s="66">
        <f>VLOOKUP(A27,'GVA-productivity1'!$A$55:$M$71,12,FALSE)</f>
        <v>6.7485896421816571E-2</v>
      </c>
      <c r="C27" s="66">
        <f>VLOOKUP($A27,'GVA-productivity1'!$A$34:$O$50,13,FALSE)/100</f>
        <v>4.8249882603701971E-2</v>
      </c>
      <c r="D27" s="66">
        <f>VLOOKUP($A27,'GVA-productivity1'!$A$34:$O$50,14,FALSE)/100</f>
        <v>4.4881377549664841E-2</v>
      </c>
      <c r="E27" s="67">
        <f t="shared" si="2"/>
        <v>-3.3685050540371297E-3</v>
      </c>
      <c r="F27" s="68">
        <f t="shared" si="3"/>
        <v>3.2561865797582404E-3</v>
      </c>
      <c r="G27" s="273"/>
    </row>
    <row r="28" spans="1:7" x14ac:dyDescent="0.25">
      <c r="A28" s="107" t="s">
        <v>21</v>
      </c>
      <c r="B28" s="66">
        <f>VLOOKUP(A28,'GVA-productivity1'!$A$55:$M$71,12,FALSE)</f>
        <v>5.1222032499953496E-3</v>
      </c>
      <c r="C28" s="66">
        <f>VLOOKUP($A28,'GVA-productivity1'!$A$34:$O$50,13,FALSE)/100</f>
        <v>1.6052016787323512E-3</v>
      </c>
      <c r="D28" s="66">
        <f>VLOOKUP($A28,'GVA-productivity1'!$A$34:$O$50,14,FALSE)/100</f>
        <v>2.4756449310110854E-3</v>
      </c>
      <c r="E28" s="67">
        <f t="shared" si="2"/>
        <v>8.7044325227873419E-4</v>
      </c>
      <c r="F28" s="68">
        <f t="shared" si="3"/>
        <v>8.2221692557008399E-6</v>
      </c>
      <c r="G28" s="273"/>
    </row>
    <row r="29" spans="1:7" x14ac:dyDescent="0.25">
      <c r="A29" s="107" t="s">
        <v>22</v>
      </c>
      <c r="B29" s="66">
        <f>VLOOKUP(A29,'GVA-productivity1'!$A$55:$M$71,12,FALSE)</f>
        <v>-4.8296299330092829E-3</v>
      </c>
      <c r="C29" s="66">
        <f>VLOOKUP($A29,'GVA-productivity1'!$A$34:$O$50,13,FALSE)/100</f>
        <v>9.0504499892850934E-3</v>
      </c>
      <c r="D29" s="66">
        <f>VLOOKUP($A29,'GVA-productivity1'!$A$34:$O$50,14,FALSE)/100</f>
        <v>1.0402727296602758E-2</v>
      </c>
      <c r="E29" s="67">
        <f t="shared" si="2"/>
        <v>1.3522773073176651E-3</v>
      </c>
      <c r="F29" s="68">
        <f t="shared" si="3"/>
        <v>-4.3710324175454831E-5</v>
      </c>
      <c r="G29" s="273"/>
    </row>
    <row r="30" spans="1:7" x14ac:dyDescent="0.25">
      <c r="A30" s="107" t="s">
        <v>25</v>
      </c>
      <c r="B30" s="66">
        <f>VLOOKUP(A30,'GVA-productivity1'!$A$55:$M$71,12,FALSE)</f>
        <v>2.0776769353800351E-2</v>
      </c>
      <c r="C30" s="66">
        <f>VLOOKUP($A30,'GVA-productivity1'!$A$34:$O$50,13,FALSE)/100</f>
        <v>9.6136911968425012E-2</v>
      </c>
      <c r="D30" s="66">
        <f>VLOOKUP($A30,'GVA-productivity1'!$A$34:$O$50,14,FALSE)/100</f>
        <v>0.13276486233314611</v>
      </c>
      <c r="E30" s="67">
        <f t="shared" si="2"/>
        <v>3.6627950364721093E-2</v>
      </c>
      <c r="F30" s="68">
        <f t="shared" si="3"/>
        <v>1.9974144463545751E-3</v>
      </c>
      <c r="G30" s="273"/>
    </row>
    <row r="31" spans="1:7" x14ac:dyDescent="0.25">
      <c r="A31" s="107" t="s">
        <v>26</v>
      </c>
      <c r="B31" s="66">
        <f>VLOOKUP(A31,'GVA-productivity1'!$A$55:$M$71,12,FALSE)</f>
        <v>-5.3213066743137416E-3</v>
      </c>
      <c r="C31" s="66">
        <f>VLOOKUP($A31,'GVA-productivity1'!$A$34:$O$50,13,FALSE)/100</f>
        <v>7.5405542661932771E-3</v>
      </c>
      <c r="D31" s="66">
        <f>VLOOKUP($A31,'GVA-productivity1'!$A$34:$O$50,14,FALSE)/100</f>
        <v>1.8830521568214194E-2</v>
      </c>
      <c r="E31" s="67">
        <f t="shared" si="2"/>
        <v>1.1289967302020917E-2</v>
      </c>
      <c r="F31" s="68">
        <f t="shared" si="3"/>
        <v>-4.0125601744719245E-5</v>
      </c>
      <c r="G31" s="273"/>
    </row>
    <row r="32" spans="1:7" x14ac:dyDescent="0.25">
      <c r="A32" s="107" t="s">
        <v>46</v>
      </c>
      <c r="B32" s="66">
        <f>VLOOKUP("Finance and business services",'GVA-productivity1'!$A$55:$M$71,12,FALSE)</f>
        <v>-6.9089740779000319E-2</v>
      </c>
      <c r="C32" s="66">
        <f>VLOOKUP("Finance and business services",'GVA-productivity1'!$A$34:$O$50,13,FALSE)/100</f>
        <v>1.2584750249442304E-2</v>
      </c>
      <c r="D32" s="66">
        <f>VLOOKUP("Finance and business services",'GVA-productivity1'!$A$34:$O$50,14,FALSE)/100</f>
        <v>1.7519440334549687E-2</v>
      </c>
      <c r="E32" s="67">
        <f t="shared" si="2"/>
        <v>4.9346900851073832E-3</v>
      </c>
      <c r="F32" s="68">
        <f t="shared" si="3"/>
        <v>-8.6947713250242842E-4</v>
      </c>
      <c r="G32" s="273"/>
    </row>
    <row r="33" spans="1:7" x14ac:dyDescent="0.25">
      <c r="A33" s="107" t="s">
        <v>33</v>
      </c>
      <c r="B33" s="66">
        <f>VLOOKUP(A33,'GVA-productivity1'!$A$55:$M$71,12,FALSE)</f>
        <v>-9.8162636088653388E-3</v>
      </c>
      <c r="C33" s="66">
        <f>VLOOKUP($A33,'GVA-productivity1'!$A$34:$O$50,13,FALSE)/100</f>
        <v>3.1827265432805119E-2</v>
      </c>
      <c r="D33" s="66">
        <f>VLOOKUP($A33,'GVA-productivity1'!$A$34:$O$50,14,FALSE)/100</f>
        <v>3.9261845202103872E-2</v>
      </c>
      <c r="E33" s="67">
        <f t="shared" si="2"/>
        <v>7.4345797692987534E-3</v>
      </c>
      <c r="F33" s="68">
        <f t="shared" si="3"/>
        <v>-3.1242482743774262E-4</v>
      </c>
      <c r="G33" s="273"/>
    </row>
    <row r="34" spans="1:7" x14ac:dyDescent="0.25">
      <c r="A34" s="108" t="s">
        <v>34</v>
      </c>
      <c r="B34" s="66">
        <f>VLOOKUP("Other services",'GVA-productivity1'!$A$55:$M$71,12,FALSE)</f>
        <v>9.2364812431930954E-3</v>
      </c>
      <c r="C34" s="66">
        <f>VLOOKUP("Other services",'GVA-productivity1'!$A$34:$O$50,13,FALSE)/100</f>
        <v>4.0764279000554522E-2</v>
      </c>
      <c r="D34" s="66">
        <f>VLOOKUP("Other services",'GVA-productivity1'!$A$34:$O$50,14,FALSE)/100</f>
        <v>5.1640009299117315E-2</v>
      </c>
      <c r="E34" s="67">
        <f t="shared" si="2"/>
        <v>1.0875730298562793E-2</v>
      </c>
      <c r="F34" s="68">
        <f t="shared" si="3"/>
        <v>3.7651849838091201E-4</v>
      </c>
      <c r="G34" s="273"/>
    </row>
    <row r="35" spans="1:7" x14ac:dyDescent="0.25">
      <c r="A35" s="109" t="s">
        <v>77</v>
      </c>
      <c r="B35" s="126">
        <f>SUM(B24:B34)</f>
        <v>9.3442679085152802E-2</v>
      </c>
      <c r="C35" s="126">
        <f>SUM(C25:C34)</f>
        <v>1</v>
      </c>
      <c r="D35" s="126">
        <f>SUM(D25:D34)</f>
        <v>0.99999999999999989</v>
      </c>
      <c r="E35" s="70"/>
      <c r="F35" s="71">
        <f>SUM(F25:F34)</f>
        <v>3.5866606353847266E-2</v>
      </c>
      <c r="G35" s="274"/>
    </row>
    <row r="36" spans="1:7" x14ac:dyDescent="0.25">
      <c r="A36" s="110"/>
      <c r="B36" s="111"/>
      <c r="C36" s="111"/>
      <c r="D36" s="111"/>
      <c r="E36" s="99"/>
      <c r="F36" s="99"/>
      <c r="G36" s="132"/>
    </row>
    <row r="37" spans="1:7" x14ac:dyDescent="0.25">
      <c r="A37" s="100"/>
      <c r="B37" s="138" t="s">
        <v>13</v>
      </c>
      <c r="C37" s="138">
        <v>2005</v>
      </c>
      <c r="D37" s="138">
        <v>2010</v>
      </c>
      <c r="E37" s="138" t="s">
        <v>59</v>
      </c>
      <c r="F37" s="102" t="s">
        <v>238</v>
      </c>
      <c r="G37" s="271"/>
    </row>
    <row r="38" spans="1:7" x14ac:dyDescent="0.25">
      <c r="A38" s="103" t="s">
        <v>37</v>
      </c>
      <c r="B38" s="66">
        <f>VLOOKUP(A38,'GVA-productivity1'!$A$55:$M$71,13,FALSE)</f>
        <v>9.4224746001225768E-3</v>
      </c>
      <c r="C38" s="66">
        <f>VLOOKUP($A38,'GVA-productivity1'!$A$34:$O$50,14,FALSE)/100</f>
        <v>1</v>
      </c>
      <c r="D38" s="66">
        <f>VLOOKUP($A38,'GVA-productivity1'!$A$34:$O$50,15,FALSE)/100</f>
        <v>1</v>
      </c>
      <c r="E38" s="104"/>
      <c r="F38" s="105"/>
      <c r="G38" s="272"/>
    </row>
    <row r="39" spans="1:7" x14ac:dyDescent="0.25">
      <c r="A39" s="106" t="s">
        <v>14</v>
      </c>
      <c r="B39" s="66">
        <f>VLOOKUP(A39,'GVA-productivity1'!$A$55:$M$71,13,FALSE)</f>
        <v>5.3069183867175074E-2</v>
      </c>
      <c r="C39" s="66">
        <f>VLOOKUP($A39,'GVA-productivity1'!$A$34:$O$50,14,FALSE)/100</f>
        <v>0.67941338279430685</v>
      </c>
      <c r="D39" s="66">
        <f>VLOOKUP($A39,'GVA-productivity1'!$A$34:$O$50,15,FALSE)/100</f>
        <v>0.58877002141209822</v>
      </c>
      <c r="E39" s="67">
        <f t="shared" ref="E39:E48" si="4">+D39-C39</f>
        <v>-9.0643361382208631E-2</v>
      </c>
      <c r="F39" s="68">
        <f t="shared" ref="F39:F48" si="5">+B39*C39</f>
        <v>3.6055913733330475E-2</v>
      </c>
      <c r="G39" s="273"/>
    </row>
    <row r="40" spans="1:7" x14ac:dyDescent="0.25">
      <c r="A40" s="107" t="s">
        <v>19</v>
      </c>
      <c r="B40" s="66">
        <f>VLOOKUP(A40,'GVA-productivity1'!$A$55:$M$71,13,FALSE)</f>
        <v>9.258546768803555E-3</v>
      </c>
      <c r="C40" s="66">
        <f>VLOOKUP($A40,'GVA-productivity1'!$A$34:$O$50,14,FALSE)/100</f>
        <v>2.810188691283379E-3</v>
      </c>
      <c r="D40" s="66">
        <f>VLOOKUP($A40,'GVA-productivity1'!$A$34:$O$50,15,FALSE)/100</f>
        <v>1.9978691816140634E-3</v>
      </c>
      <c r="E40" s="67">
        <f t="shared" si="4"/>
        <v>-8.1231950966931558E-4</v>
      </c>
      <c r="F40" s="68">
        <f t="shared" si="5"/>
        <v>2.601826342741002E-5</v>
      </c>
      <c r="G40" s="273"/>
    </row>
    <row r="41" spans="1:7" x14ac:dyDescent="0.25">
      <c r="A41" s="107" t="s">
        <v>20</v>
      </c>
      <c r="B41" s="66">
        <f>VLOOKUP(A41,'GVA-productivity1'!$A$55:$M$71,13,FALSE)</f>
        <v>6.8321193196607455E-2</v>
      </c>
      <c r="C41" s="66">
        <f>VLOOKUP($A41,'GVA-productivity1'!$A$34:$O$50,14,FALSE)/100</f>
        <v>4.4881377549664841E-2</v>
      </c>
      <c r="D41" s="66">
        <f>VLOOKUP($A41,'GVA-productivity1'!$A$34:$O$50,15,FALSE)/100</f>
        <v>3.9983531374960232E-2</v>
      </c>
      <c r="E41" s="67">
        <f t="shared" si="4"/>
        <v>-4.8978461747046093E-3</v>
      </c>
      <c r="F41" s="68">
        <f t="shared" si="5"/>
        <v>3.066349266500532E-3</v>
      </c>
      <c r="G41" s="273"/>
    </row>
    <row r="42" spans="1:7" x14ac:dyDescent="0.25">
      <c r="A42" s="107" t="s">
        <v>21</v>
      </c>
      <c r="B42" s="66">
        <f>VLOOKUP(A42,'GVA-productivity1'!$A$55:$M$71,13,FALSE)</f>
        <v>5.9087010739560242E-3</v>
      </c>
      <c r="C42" s="66">
        <f>VLOOKUP($A42,'GVA-productivity1'!$A$34:$O$50,14,FALSE)/100</f>
        <v>2.4756449310110854E-3</v>
      </c>
      <c r="D42" s="66">
        <f>VLOOKUP($A42,'GVA-productivity1'!$A$34:$O$50,15,FALSE)/100</f>
        <v>2.3951903773320429E-3</v>
      </c>
      <c r="E42" s="67">
        <f t="shared" si="4"/>
        <v>-8.0454553679042487E-5</v>
      </c>
      <c r="F42" s="68">
        <f t="shared" si="5"/>
        <v>1.4627845862598987E-5</v>
      </c>
      <c r="G42" s="273"/>
    </row>
    <row r="43" spans="1:7" x14ac:dyDescent="0.25">
      <c r="A43" s="107" t="s">
        <v>22</v>
      </c>
      <c r="B43" s="66">
        <f>VLOOKUP(A43,'GVA-productivity1'!$A$55:$M$71,13,FALSE)</f>
        <v>-4.0509193165314539E-3</v>
      </c>
      <c r="C43" s="66">
        <f>VLOOKUP($A43,'GVA-productivity1'!$A$34:$O$50,14,FALSE)/100</f>
        <v>1.0402727296602758E-2</v>
      </c>
      <c r="D43" s="66">
        <f>VLOOKUP($A43,'GVA-productivity1'!$A$34:$O$50,15,FALSE)/100</f>
        <v>1.5719942008573833E-2</v>
      </c>
      <c r="E43" s="67">
        <f t="shared" si="4"/>
        <v>5.3172147119710748E-3</v>
      </c>
      <c r="F43" s="68">
        <f t="shared" si="5"/>
        <v>-4.2140608950417143E-5</v>
      </c>
      <c r="G43" s="273"/>
    </row>
    <row r="44" spans="1:7" x14ac:dyDescent="0.25">
      <c r="A44" s="107" t="s">
        <v>25</v>
      </c>
      <c r="B44" s="66">
        <f>VLOOKUP(A44,'GVA-productivity1'!$A$55:$M$71,13,FALSE)</f>
        <v>2.1575516715316434E-2</v>
      </c>
      <c r="C44" s="66">
        <f>VLOOKUP($A44,'GVA-productivity1'!$A$34:$O$50,14,FALSE)/100</f>
        <v>0.13276486233314611</v>
      </c>
      <c r="D44" s="66">
        <f>VLOOKUP($A44,'GVA-productivity1'!$A$34:$O$50,15,FALSE)/100</f>
        <v>0.18314609705485804</v>
      </c>
      <c r="E44" s="67">
        <f t="shared" si="4"/>
        <v>5.0381234721711937E-2</v>
      </c>
      <c r="F44" s="68">
        <f t="shared" si="5"/>
        <v>2.8644705064754792E-3</v>
      </c>
      <c r="G44" s="273"/>
    </row>
    <row r="45" spans="1:7" x14ac:dyDescent="0.25">
      <c r="A45" s="107" t="s">
        <v>26</v>
      </c>
      <c r="B45" s="66">
        <f>VLOOKUP(A45,'GVA-productivity1'!$A$55:$M$71,13,FALSE)</f>
        <v>-4.542980789847384E-3</v>
      </c>
      <c r="C45" s="66">
        <f>VLOOKUP($A45,'GVA-productivity1'!$A$34:$O$50,14,FALSE)/100</f>
        <v>1.8830521568214194E-2</v>
      </c>
      <c r="D45" s="66">
        <f>VLOOKUP($A45,'GVA-productivity1'!$A$34:$O$50,15,FALSE)/100</f>
        <v>3.1081091804750341E-2</v>
      </c>
      <c r="E45" s="67">
        <f t="shared" si="4"/>
        <v>1.2250570236536147E-2</v>
      </c>
      <c r="F45" s="68">
        <f t="shared" si="5"/>
        <v>-8.5546697747203911E-5</v>
      </c>
      <c r="G45" s="273"/>
    </row>
    <row r="46" spans="1:7" x14ac:dyDescent="0.25">
      <c r="A46" s="107" t="s">
        <v>46</v>
      </c>
      <c r="B46" s="66">
        <f>VLOOKUP("Finance and business services",'GVA-productivity1'!$A$55:$M$71,13,FALSE)</f>
        <v>5.5661268006293785E-2</v>
      </c>
      <c r="C46" s="66">
        <f>VLOOKUP("Finance and business services",'GVA-productivity1'!$A$34:$O$50,14,FALSE)/100</f>
        <v>1.7519440334549687E-2</v>
      </c>
      <c r="D46" s="66">
        <f>VLOOKUP("Finance and business services",'GVA-productivity1'!$A$34:$O$50,15,FALSE)/100</f>
        <v>2.6764942534361916E-2</v>
      </c>
      <c r="E46" s="67">
        <f t="shared" si="4"/>
        <v>9.2455021998122285E-3</v>
      </c>
      <c r="F46" s="68">
        <f t="shared" si="5"/>
        <v>9.7515426378164344E-4</v>
      </c>
      <c r="G46" s="273"/>
    </row>
    <row r="47" spans="1:7" x14ac:dyDescent="0.25">
      <c r="A47" s="107" t="s">
        <v>33</v>
      </c>
      <c r="B47" s="66">
        <f>VLOOKUP(A47,'GVA-productivity1'!$A$55:$M$71,13,FALSE)</f>
        <v>-9.0414549821381529E-3</v>
      </c>
      <c r="C47" s="66">
        <f>VLOOKUP($A47,'GVA-productivity1'!$A$34:$O$50,14,FALSE)/100</f>
        <v>3.9261845202103872E-2</v>
      </c>
      <c r="D47" s="66">
        <f>VLOOKUP($A47,'GVA-productivity1'!$A$34:$O$50,15,FALSE)/100</f>
        <v>4.4424486325238231E-2</v>
      </c>
      <c r="E47" s="67">
        <f t="shared" si="4"/>
        <v>5.1626411231343594E-3</v>
      </c>
      <c r="F47" s="68">
        <f t="shared" si="5"/>
        <v>-3.5498420591049897E-4</v>
      </c>
      <c r="G47" s="273"/>
    </row>
    <row r="48" spans="1:7" x14ac:dyDescent="0.25">
      <c r="A48" s="108" t="s">
        <v>34</v>
      </c>
      <c r="B48" s="66">
        <f>VLOOKUP("Other services",'GVA-productivity1'!$A$55:$M$71,13,FALSE)</f>
        <v>1.0026198447521839E-2</v>
      </c>
      <c r="C48" s="66">
        <f>VLOOKUP("Other services",'GVA-productivity1'!$A$34:$O$50,14,FALSE)/100</f>
        <v>5.1640009299117315E-2</v>
      </c>
      <c r="D48" s="66">
        <f>VLOOKUP("Other services",'GVA-productivity1'!$A$34:$O$50,15,FALSE)/100</f>
        <v>6.5716827926213209E-2</v>
      </c>
      <c r="E48" s="67">
        <f t="shared" si="4"/>
        <v>1.4076818627095894E-2</v>
      </c>
      <c r="F48" s="68">
        <f t="shared" si="5"/>
        <v>5.1775298106482336E-4</v>
      </c>
      <c r="G48" s="273"/>
    </row>
    <row r="49" spans="1:7" x14ac:dyDescent="0.25">
      <c r="A49" s="109" t="s">
        <v>77</v>
      </c>
      <c r="B49" s="69">
        <f>SUM(B38:B48)</f>
        <v>0.21560772758727975</v>
      </c>
      <c r="C49" s="126">
        <f>SUM(C39:C48)</f>
        <v>0.99999999999999989</v>
      </c>
      <c r="D49" s="126">
        <f>SUM(D39:D48)</f>
        <v>1.0000000000000002</v>
      </c>
      <c r="E49" s="70"/>
      <c r="F49" s="71">
        <f>SUM(F39:F48)</f>
        <v>4.3037615347834839E-2</v>
      </c>
      <c r="G49" s="274"/>
    </row>
    <row r="50" spans="1:7" x14ac:dyDescent="0.25">
      <c r="A50" s="110"/>
      <c r="B50" s="111"/>
      <c r="C50" s="111"/>
      <c r="D50" s="111"/>
      <c r="E50" s="112"/>
      <c r="F50" s="113"/>
      <c r="G50" s="113"/>
    </row>
    <row r="51" spans="1:7" x14ac:dyDescent="0.25">
      <c r="A51" s="114"/>
      <c r="B51" s="112"/>
      <c r="C51" s="112"/>
      <c r="D51" s="112"/>
    </row>
    <row r="52" spans="1:7" x14ac:dyDescent="0.25">
      <c r="A52" s="114"/>
      <c r="B52" s="112"/>
      <c r="C52" s="112"/>
      <c r="D52" s="112"/>
    </row>
    <row r="53" spans="1:7" x14ac:dyDescent="0.25">
      <c r="A53" s="114"/>
      <c r="B53" s="112"/>
      <c r="C53" s="112"/>
      <c r="D53" s="112"/>
    </row>
    <row r="54" spans="1:7" x14ac:dyDescent="0.25">
      <c r="A54" s="114"/>
      <c r="B54" s="112"/>
      <c r="C54" s="112"/>
      <c r="D54" s="11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1"/>
  <sheetViews>
    <sheetView showGridLines="0" workbookViewId="0">
      <selection activeCell="D4" sqref="D4"/>
    </sheetView>
  </sheetViews>
  <sheetFormatPr defaultRowHeight="12" x14ac:dyDescent="0.25"/>
  <cols>
    <col min="2" max="2" width="29.5703125" customWidth="1"/>
    <col min="3" max="6" width="14.140625" customWidth="1"/>
  </cols>
  <sheetData>
    <row r="1" spans="1:17" ht="14.4" x14ac:dyDescent="0.25">
      <c r="A1" s="149" t="s">
        <v>81</v>
      </c>
    </row>
    <row r="2" spans="1:17" x14ac:dyDescent="0.25">
      <c r="A2" s="304" t="s">
        <v>264</v>
      </c>
    </row>
    <row r="3" spans="1:17" x14ac:dyDescent="0.25">
      <c r="A3" s="360"/>
      <c r="C3" s="360"/>
      <c r="D3" s="360"/>
      <c r="E3" s="360"/>
      <c r="F3" s="341"/>
    </row>
    <row r="4" spans="1:17" x14ac:dyDescent="0.25">
      <c r="A4" s="361"/>
      <c r="B4" s="99"/>
      <c r="C4" s="361"/>
      <c r="D4" s="362" t="s">
        <v>265</v>
      </c>
      <c r="E4" s="361"/>
      <c r="F4" s="342"/>
    </row>
    <row r="5" spans="1:17" ht="48" x14ac:dyDescent="0.25">
      <c r="A5" s="151" t="s">
        <v>83</v>
      </c>
      <c r="B5" s="152" t="s">
        <v>2</v>
      </c>
      <c r="C5" s="153" t="s">
        <v>80</v>
      </c>
      <c r="D5" s="153" t="s">
        <v>82</v>
      </c>
      <c r="E5" s="153" t="s">
        <v>84</v>
      </c>
      <c r="F5" s="153" t="s">
        <v>82</v>
      </c>
      <c r="H5" s="262"/>
      <c r="I5" s="151" t="s">
        <v>60</v>
      </c>
      <c r="J5" s="151" t="s">
        <v>33</v>
      </c>
      <c r="K5" s="151" t="s">
        <v>14</v>
      </c>
      <c r="L5" s="151" t="s">
        <v>63</v>
      </c>
      <c r="M5" s="151" t="s">
        <v>20</v>
      </c>
      <c r="N5" s="151" t="s">
        <v>27</v>
      </c>
      <c r="O5" s="151" t="s">
        <v>61</v>
      </c>
      <c r="P5" s="151" t="s">
        <v>19</v>
      </c>
      <c r="Q5" s="151" t="s">
        <v>247</v>
      </c>
    </row>
    <row r="6" spans="1:17" x14ac:dyDescent="0.25">
      <c r="A6" s="150">
        <v>8</v>
      </c>
      <c r="B6" s="139" t="s">
        <v>60</v>
      </c>
      <c r="C6" s="147">
        <f>VLOOKUP("Other services",'GVA-productivity1'!$A$34:$O$50,15,FALSE)/100</f>
        <v>6.5716827926213209E-2</v>
      </c>
      <c r="D6" s="145">
        <f>VLOOKUP("Other services",'GVA-productivity1'!$A$34:$U$50,21,FALSE)</f>
        <v>0.18102110958547579</v>
      </c>
      <c r="E6" s="147">
        <f>+C6</f>
        <v>6.5716827926213209E-2</v>
      </c>
      <c r="F6" s="145">
        <f>+D6</f>
        <v>0.18102110958547579</v>
      </c>
      <c r="H6" s="234">
        <v>0</v>
      </c>
      <c r="I6" s="234">
        <v>0</v>
      </c>
      <c r="J6" s="234"/>
      <c r="K6" s="234"/>
      <c r="L6" s="234"/>
      <c r="M6" s="234"/>
      <c r="N6" s="234"/>
      <c r="O6" s="234"/>
      <c r="P6" s="234"/>
      <c r="Q6" s="234">
        <v>0</v>
      </c>
    </row>
    <row r="7" spans="1:17" x14ac:dyDescent="0.25">
      <c r="A7" s="150">
        <v>7</v>
      </c>
      <c r="B7" s="139" t="s">
        <v>33</v>
      </c>
      <c r="C7" s="147">
        <f>VLOOKUP($B7,'GVA-productivity1'!$A$34:$O$50,15,FALSE)/100</f>
        <v>4.4424486325238231E-2</v>
      </c>
      <c r="D7" s="145">
        <f>VLOOKUP($B7,'GVA-productivity1'!$A$34:$U$50,21,FALSE)</f>
        <v>0.25371143763538623</v>
      </c>
      <c r="E7" s="147">
        <f>+C7+E6</f>
        <v>0.11014131425145143</v>
      </c>
      <c r="F7" s="145">
        <f t="shared" ref="F7:F13" si="0">+D7</f>
        <v>0.25371143763538623</v>
      </c>
      <c r="H7" s="234">
        <v>0</v>
      </c>
      <c r="I7" s="234">
        <f>+$F$6</f>
        <v>0.18102110958547579</v>
      </c>
      <c r="J7" s="234"/>
      <c r="K7" s="234"/>
      <c r="L7" s="234"/>
      <c r="M7" s="234"/>
      <c r="N7" s="234"/>
      <c r="O7" s="234"/>
      <c r="P7" s="234"/>
      <c r="Q7" s="234">
        <v>0</v>
      </c>
    </row>
    <row r="8" spans="1:17" x14ac:dyDescent="0.25">
      <c r="A8" s="150">
        <v>1</v>
      </c>
      <c r="B8" s="139" t="s">
        <v>14</v>
      </c>
      <c r="C8" s="147">
        <f>VLOOKUP($B8,'GVA-productivity1'!$A$34:$O$50,15,FALSE)/100</f>
        <v>0.58877002141209822</v>
      </c>
      <c r="D8" s="145">
        <f>VLOOKUP($B8,'GVA-productivity1'!$A$34:$U$50,21,FALSE)</f>
        <v>0.63985701324964506</v>
      </c>
      <c r="E8" s="147">
        <f t="shared" ref="E8:E13" si="1">+C8+E7</f>
        <v>0.69891133566354968</v>
      </c>
      <c r="F8" s="145">
        <f t="shared" si="0"/>
        <v>0.63985701324964506</v>
      </c>
      <c r="H8" s="234">
        <f>AVERAGE(H7,H9)</f>
        <v>3.2858413963106603</v>
      </c>
      <c r="I8" s="234">
        <f>+$F$6</f>
        <v>0.18102110958547579</v>
      </c>
      <c r="J8" s="234"/>
      <c r="K8" s="234"/>
      <c r="L8" s="234"/>
      <c r="M8" s="234"/>
      <c r="N8" s="234"/>
      <c r="O8" s="234"/>
      <c r="P8" s="234"/>
      <c r="Q8" s="234">
        <v>0</v>
      </c>
    </row>
    <row r="9" spans="1:17" x14ac:dyDescent="0.25">
      <c r="A9" s="150">
        <v>6</v>
      </c>
      <c r="B9" s="139" t="s">
        <v>63</v>
      </c>
      <c r="C9" s="147">
        <f>VLOOKUP($B9,'GVA-productivity1'!$A$34:$O$50,15,FALSE)/100</f>
        <v>2.6764942534361916E-2</v>
      </c>
      <c r="D9" s="145">
        <f>VLOOKUP($B9,'GVA-productivity1'!$A$34:$U$50,21,FALSE)</f>
        <v>0.83475674885384921</v>
      </c>
      <c r="E9" s="147">
        <f t="shared" si="1"/>
        <v>0.72567627819791158</v>
      </c>
      <c r="F9" s="145">
        <f t="shared" si="0"/>
        <v>0.83475674885384921</v>
      </c>
      <c r="H9" s="234">
        <f>+$E$6*100</f>
        <v>6.5716827926213206</v>
      </c>
      <c r="I9" s="234">
        <f>+$F$6</f>
        <v>0.18102110958547579</v>
      </c>
      <c r="J9" s="234">
        <v>0</v>
      </c>
      <c r="K9" s="234"/>
      <c r="L9" s="234"/>
      <c r="M9" s="234"/>
      <c r="N9" s="234"/>
      <c r="O9" s="234"/>
      <c r="P9" s="234"/>
      <c r="Q9" s="234">
        <v>0</v>
      </c>
    </row>
    <row r="10" spans="1:17" x14ac:dyDescent="0.25">
      <c r="A10" s="150">
        <v>3</v>
      </c>
      <c r="B10" s="139" t="s">
        <v>20</v>
      </c>
      <c r="C10" s="147">
        <f>VLOOKUP($B10,'GVA-productivity1'!$A$34:$O$50,15,FALSE)/100</f>
        <v>3.9983531374960232E-2</v>
      </c>
      <c r="D10" s="145">
        <f>VLOOKUP($B10,'GVA-productivity1'!$A$34:$U$50,21,FALSE)</f>
        <v>0.88655148907452808</v>
      </c>
      <c r="E10" s="147">
        <f t="shared" si="1"/>
        <v>0.76565980957287183</v>
      </c>
      <c r="F10" s="145">
        <f t="shared" si="0"/>
        <v>0.88655148907452808</v>
      </c>
      <c r="H10" s="234">
        <f>+$E$6*100</f>
        <v>6.5716827926213206</v>
      </c>
      <c r="I10" s="234">
        <v>0</v>
      </c>
      <c r="J10" s="234">
        <f>+$F$7</f>
        <v>0.25371143763538623</v>
      </c>
      <c r="K10" s="234"/>
      <c r="L10" s="234"/>
      <c r="M10" s="234"/>
      <c r="N10" s="234"/>
      <c r="O10" s="234"/>
      <c r="P10" s="234"/>
      <c r="Q10" s="234">
        <v>0</v>
      </c>
    </row>
    <row r="11" spans="1:17" x14ac:dyDescent="0.25">
      <c r="A11" s="150">
        <v>5</v>
      </c>
      <c r="B11" s="140" t="s">
        <v>27</v>
      </c>
      <c r="C11" s="147">
        <f>VLOOKUP($B11,'GVA-productivity1'!$A$34:$O$50,15,FALSE)/100</f>
        <v>0.21422718885960837</v>
      </c>
      <c r="D11" s="145">
        <f>VLOOKUP($B11,'GVA-productivity1'!$A$34:$U$50,21,FALSE)</f>
        <v>1.0355035225592262</v>
      </c>
      <c r="E11" s="147">
        <f t="shared" si="1"/>
        <v>0.97988699843248017</v>
      </c>
      <c r="F11" s="145">
        <f t="shared" si="0"/>
        <v>1.0355035225592262</v>
      </c>
      <c r="H11" s="234">
        <f>AVERAGE(H10,H12)</f>
        <v>8.7929071088832309</v>
      </c>
      <c r="I11" s="234"/>
      <c r="J11" s="234">
        <f>+$F$7</f>
        <v>0.25371143763538623</v>
      </c>
      <c r="K11" s="234"/>
      <c r="L11" s="234"/>
      <c r="M11" s="234"/>
      <c r="N11" s="234"/>
      <c r="O11" s="234"/>
      <c r="P11" s="234"/>
      <c r="Q11" s="234">
        <v>0</v>
      </c>
    </row>
    <row r="12" spans="1:17" x14ac:dyDescent="0.25">
      <c r="A12" s="150">
        <v>4</v>
      </c>
      <c r="B12" s="140" t="s">
        <v>61</v>
      </c>
      <c r="C12" s="147">
        <f>VLOOKUP($B12,'GVA-productivity1'!$A$34:$O$50,15,FALSE)/100</f>
        <v>1.8115132385905876E-2</v>
      </c>
      <c r="D12" s="145">
        <f>VLOOKUP($B12,'GVA-productivity1'!$A$34:$U$50,21,FALSE)</f>
        <v>1.2732645209014168</v>
      </c>
      <c r="E12" s="147">
        <f t="shared" si="1"/>
        <v>0.99800213081838607</v>
      </c>
      <c r="F12" s="145">
        <f t="shared" si="0"/>
        <v>1.2732645209014168</v>
      </c>
      <c r="H12" s="234">
        <f>+$E$7*100</f>
        <v>11.014131425145143</v>
      </c>
      <c r="I12" s="234"/>
      <c r="J12" s="234">
        <f>+$F$7</f>
        <v>0.25371143763538623</v>
      </c>
      <c r="K12" s="234">
        <v>0</v>
      </c>
      <c r="L12" s="234"/>
      <c r="M12" s="234"/>
      <c r="N12" s="234"/>
      <c r="O12" s="234"/>
      <c r="P12" s="234"/>
      <c r="Q12" s="234">
        <v>0</v>
      </c>
    </row>
    <row r="13" spans="1:17" s="242" customFormat="1" x14ac:dyDescent="0.25">
      <c r="A13" s="249">
        <v>2</v>
      </c>
      <c r="B13" s="250" t="s">
        <v>19</v>
      </c>
      <c r="C13" s="253">
        <f>VLOOKUP($B13,'GVA-productivity1'!$A$34:$O$50,15,FALSE)/100</f>
        <v>1.9978691816140634E-3</v>
      </c>
      <c r="D13" s="252">
        <f>VLOOKUP($B13,'GVA-productivity1'!$A$34:$U$50,21,FALSE)</f>
        <v>148.86670368674982</v>
      </c>
      <c r="E13" s="251">
        <f t="shared" si="1"/>
        <v>1.0000000000000002</v>
      </c>
      <c r="F13" s="252">
        <f t="shared" si="0"/>
        <v>148.86670368674982</v>
      </c>
      <c r="G13" s="242" t="s">
        <v>111</v>
      </c>
      <c r="H13" s="264">
        <f>+$E$7*100</f>
        <v>11.014131425145143</v>
      </c>
      <c r="I13" s="264"/>
      <c r="J13" s="264">
        <v>0</v>
      </c>
      <c r="K13" s="264">
        <f>+$F$8</f>
        <v>0.63985701324964506</v>
      </c>
      <c r="L13" s="264"/>
      <c r="M13" s="264"/>
      <c r="N13" s="264"/>
      <c r="O13" s="264"/>
      <c r="P13" s="264"/>
      <c r="Q13" s="264">
        <v>0</v>
      </c>
    </row>
    <row r="14" spans="1:17" x14ac:dyDescent="0.25">
      <c r="B14" s="154" t="s">
        <v>57</v>
      </c>
      <c r="C14" s="146">
        <f>SUM(C6:C13)</f>
        <v>1.0000000000000002</v>
      </c>
      <c r="D14" s="146">
        <f>SUM(D6:D13)</f>
        <v>153.97136952860933</v>
      </c>
      <c r="E14" s="148"/>
      <c r="F14" s="148"/>
      <c r="H14" s="234">
        <f>AVERAGE(H13,H15)</f>
        <v>40.452632495750052</v>
      </c>
      <c r="I14" s="234"/>
      <c r="J14" s="234"/>
      <c r="K14" s="234">
        <f>+$F$8</f>
        <v>0.63985701324964506</v>
      </c>
      <c r="L14" s="234"/>
      <c r="M14" s="234"/>
      <c r="N14" s="234"/>
      <c r="O14" s="234"/>
      <c r="P14" s="234"/>
      <c r="Q14" s="234">
        <v>0</v>
      </c>
    </row>
    <row r="15" spans="1:17" x14ac:dyDescent="0.25">
      <c r="H15" s="234">
        <f>+$E$8*100</f>
        <v>69.891133566354966</v>
      </c>
      <c r="I15" s="234"/>
      <c r="J15" s="234"/>
      <c r="K15" s="234">
        <f>+$F$8</f>
        <v>0.63985701324964506</v>
      </c>
      <c r="L15" s="234">
        <v>0</v>
      </c>
      <c r="M15" s="234"/>
      <c r="N15" s="234"/>
      <c r="O15" s="234"/>
      <c r="P15" s="234"/>
      <c r="Q15" s="234">
        <v>0</v>
      </c>
    </row>
    <row r="16" spans="1:17" x14ac:dyDescent="0.25">
      <c r="A16" s="155"/>
      <c r="B16" s="156"/>
      <c r="H16" s="234">
        <f>+$E$8*100</f>
        <v>69.891133566354966</v>
      </c>
      <c r="I16" s="234"/>
      <c r="J16" s="234"/>
      <c r="K16" s="234">
        <v>0</v>
      </c>
      <c r="L16" s="234">
        <f>+$F$9</f>
        <v>0.83475674885384921</v>
      </c>
      <c r="M16" s="234"/>
      <c r="N16" s="234"/>
      <c r="O16" s="234"/>
      <c r="P16" s="234"/>
      <c r="Q16" s="234">
        <v>0</v>
      </c>
    </row>
    <row r="17" spans="8:17" x14ac:dyDescent="0.25">
      <c r="H17" s="234">
        <f>AVERAGE(H16,H18)</f>
        <v>71.229380693073068</v>
      </c>
      <c r="I17" s="234"/>
      <c r="J17" s="234"/>
      <c r="K17" s="234"/>
      <c r="L17" s="234">
        <f>+$F$9</f>
        <v>0.83475674885384921</v>
      </c>
      <c r="M17" s="234"/>
      <c r="N17" s="234"/>
      <c r="O17" s="234"/>
      <c r="P17" s="234"/>
      <c r="Q17" s="234">
        <v>0</v>
      </c>
    </row>
    <row r="18" spans="8:17" x14ac:dyDescent="0.25">
      <c r="H18" s="234">
        <f>+$E$9*100</f>
        <v>72.567627819791156</v>
      </c>
      <c r="I18" s="234"/>
      <c r="J18" s="234"/>
      <c r="K18" s="234"/>
      <c r="L18" s="234">
        <f>+$F$9</f>
        <v>0.83475674885384921</v>
      </c>
      <c r="M18" s="234">
        <v>0</v>
      </c>
      <c r="N18" s="234"/>
      <c r="O18" s="234"/>
      <c r="P18" s="234"/>
      <c r="Q18" s="234">
        <v>0</v>
      </c>
    </row>
    <row r="19" spans="8:17" x14ac:dyDescent="0.25">
      <c r="H19" s="234">
        <f>+$E$9*100</f>
        <v>72.567627819791156</v>
      </c>
      <c r="I19" s="234"/>
      <c r="J19" s="234"/>
      <c r="K19" s="234"/>
      <c r="L19" s="234">
        <v>0</v>
      </c>
      <c r="M19" s="234">
        <f>+$F$10</f>
        <v>0.88655148907452808</v>
      </c>
      <c r="N19" s="234"/>
      <c r="O19" s="234"/>
      <c r="P19" s="234"/>
      <c r="Q19" s="234">
        <v>0</v>
      </c>
    </row>
    <row r="20" spans="8:17" x14ac:dyDescent="0.25">
      <c r="H20" s="234">
        <f>AVERAGE(H19,H21)</f>
        <v>74.566804388539168</v>
      </c>
      <c r="I20" s="234"/>
      <c r="J20" s="234"/>
      <c r="K20" s="234"/>
      <c r="L20" s="234"/>
      <c r="M20" s="234">
        <f>+$F$10</f>
        <v>0.88655148907452808</v>
      </c>
      <c r="N20" s="234"/>
      <c r="O20" s="234"/>
      <c r="P20" s="234"/>
      <c r="Q20" s="234">
        <v>0</v>
      </c>
    </row>
    <row r="21" spans="8:17" x14ac:dyDescent="0.25">
      <c r="H21" s="234">
        <f>+$E$10*100</f>
        <v>76.565980957287181</v>
      </c>
      <c r="I21" s="234"/>
      <c r="J21" s="234"/>
      <c r="K21" s="234"/>
      <c r="L21" s="234"/>
      <c r="M21" s="234">
        <f>+$F$10</f>
        <v>0.88655148907452808</v>
      </c>
      <c r="N21" s="234">
        <v>0</v>
      </c>
      <c r="O21" s="234"/>
      <c r="P21" s="234"/>
      <c r="Q21" s="234">
        <v>0</v>
      </c>
    </row>
    <row r="22" spans="8:17" x14ac:dyDescent="0.25">
      <c r="H22" s="234">
        <f>+$E$10*100</f>
        <v>76.565980957287181</v>
      </c>
      <c r="I22" s="234"/>
      <c r="J22" s="234"/>
      <c r="K22" s="234"/>
      <c r="L22" s="234"/>
      <c r="M22" s="234">
        <v>0</v>
      </c>
      <c r="N22" s="234">
        <f>+$F$11</f>
        <v>1.0355035225592262</v>
      </c>
      <c r="O22" s="234"/>
      <c r="P22" s="234"/>
      <c r="Q22" s="234">
        <v>0</v>
      </c>
    </row>
    <row r="23" spans="8:17" x14ac:dyDescent="0.25">
      <c r="H23" s="234">
        <f>AVERAGE(H22,H24)</f>
        <v>87.277340400267605</v>
      </c>
      <c r="I23" s="234"/>
      <c r="J23" s="234"/>
      <c r="K23" s="234"/>
      <c r="L23" s="234"/>
      <c r="M23" s="234"/>
      <c r="N23" s="234">
        <f>+$F$11</f>
        <v>1.0355035225592262</v>
      </c>
      <c r="O23" s="234"/>
      <c r="P23" s="234"/>
      <c r="Q23" s="234">
        <v>0</v>
      </c>
    </row>
    <row r="24" spans="8:17" x14ac:dyDescent="0.25">
      <c r="H24" s="234">
        <f>+$E$11*100</f>
        <v>97.988699843248014</v>
      </c>
      <c r="I24" s="234"/>
      <c r="J24" s="234"/>
      <c r="K24" s="234"/>
      <c r="L24" s="234"/>
      <c r="M24" s="234"/>
      <c r="N24" s="234">
        <f>+$F$11</f>
        <v>1.0355035225592262</v>
      </c>
      <c r="O24" s="234">
        <v>0</v>
      </c>
      <c r="P24" s="234"/>
      <c r="Q24" s="234">
        <v>0</v>
      </c>
    </row>
    <row r="25" spans="8:17" x14ac:dyDescent="0.25">
      <c r="H25" s="234">
        <f>+$E$11*100</f>
        <v>97.988699843248014</v>
      </c>
      <c r="I25" s="234"/>
      <c r="J25" s="234"/>
      <c r="K25" s="234"/>
      <c r="L25" s="234"/>
      <c r="M25" s="234"/>
      <c r="N25" s="234">
        <v>0</v>
      </c>
      <c r="O25" s="234">
        <f>+$F$12</f>
        <v>1.2732645209014168</v>
      </c>
      <c r="P25" s="234"/>
      <c r="Q25" s="234">
        <v>0</v>
      </c>
    </row>
    <row r="26" spans="8:17" x14ac:dyDescent="0.25">
      <c r="H26" s="234">
        <f>AVERAGE(H25,H27)</f>
        <v>98.894456462543303</v>
      </c>
      <c r="I26" s="234"/>
      <c r="J26" s="234"/>
      <c r="K26" s="234"/>
      <c r="L26" s="234"/>
      <c r="M26" s="234"/>
      <c r="N26" s="234"/>
      <c r="O26" s="234">
        <f>+$F$12</f>
        <v>1.2732645209014168</v>
      </c>
      <c r="P26" s="234"/>
      <c r="Q26" s="234">
        <v>0</v>
      </c>
    </row>
    <row r="27" spans="8:17" x14ac:dyDescent="0.25">
      <c r="H27" s="234">
        <f>+$E$12*100</f>
        <v>99.800213081838606</v>
      </c>
      <c r="I27" s="234"/>
      <c r="J27" s="234"/>
      <c r="K27" s="234"/>
      <c r="L27" s="234"/>
      <c r="M27" s="234"/>
      <c r="N27" s="234"/>
      <c r="O27" s="234">
        <f>+$F$12</f>
        <v>1.2732645209014168</v>
      </c>
      <c r="P27" s="234">
        <v>0</v>
      </c>
      <c r="Q27" s="234">
        <v>0</v>
      </c>
    </row>
    <row r="28" spans="8:17" x14ac:dyDescent="0.25">
      <c r="H28" s="234">
        <f>+$E$12*100</f>
        <v>99.800213081838606</v>
      </c>
      <c r="I28" s="234"/>
      <c r="J28" s="234"/>
      <c r="K28" s="234"/>
      <c r="L28" s="234"/>
      <c r="M28" s="234"/>
      <c r="N28" s="234"/>
      <c r="O28" s="234">
        <v>0</v>
      </c>
      <c r="P28" s="234">
        <f>+$F$13</f>
        <v>148.86670368674982</v>
      </c>
      <c r="Q28" s="234">
        <v>0</v>
      </c>
    </row>
    <row r="29" spans="8:17" x14ac:dyDescent="0.25">
      <c r="H29" s="234">
        <f>AVERAGE(H28,H30)</f>
        <v>99.900106540919325</v>
      </c>
      <c r="I29" s="234"/>
      <c r="J29" s="234"/>
      <c r="K29" s="234"/>
      <c r="L29" s="234"/>
      <c r="M29" s="234"/>
      <c r="N29" s="234"/>
      <c r="O29" s="234"/>
      <c r="P29" s="234">
        <f>+$F$13</f>
        <v>148.86670368674982</v>
      </c>
      <c r="Q29" s="234">
        <v>0</v>
      </c>
    </row>
    <row r="30" spans="8:17" x14ac:dyDescent="0.25">
      <c r="H30" s="234">
        <f>+$E$13*100</f>
        <v>100.00000000000003</v>
      </c>
      <c r="I30" s="234"/>
      <c r="J30" s="234"/>
      <c r="K30" s="234"/>
      <c r="L30" s="234"/>
      <c r="M30" s="234"/>
      <c r="N30" s="234"/>
      <c r="O30" s="234"/>
      <c r="P30" s="234">
        <f>+$F$13</f>
        <v>148.86670368674982</v>
      </c>
      <c r="Q30" s="234">
        <v>0</v>
      </c>
    </row>
    <row r="31" spans="8:17" x14ac:dyDescent="0.25">
      <c r="H31" s="234">
        <f>+$E$13*100</f>
        <v>100.00000000000003</v>
      </c>
      <c r="I31" s="234"/>
      <c r="J31" s="234"/>
      <c r="K31" s="234"/>
      <c r="L31" s="234"/>
      <c r="M31" s="234"/>
      <c r="N31" s="234"/>
      <c r="O31" s="234"/>
      <c r="P31" s="234">
        <v>0</v>
      </c>
      <c r="Q31" s="234">
        <v>0</v>
      </c>
    </row>
  </sheetData>
  <sortState ref="A6:F13">
    <sortCondition ref="D6:D13"/>
  </sortState>
  <mergeCells count="1">
    <mergeCell ref="F3:F4"/>
  </mergeCell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120"/>
  <sheetViews>
    <sheetView showGridLines="0" workbookViewId="0">
      <pane xSplit="3" topLeftCell="D1" activePane="topRight" state="frozen"/>
      <selection activeCell="J33" sqref="J33"/>
      <selection pane="topRight" activeCell="A3" sqref="A3"/>
    </sheetView>
  </sheetViews>
  <sheetFormatPr defaultColWidth="11.7109375" defaultRowHeight="12" x14ac:dyDescent="0.25"/>
  <cols>
    <col min="1" max="1" width="30.28515625" style="4" customWidth="1"/>
    <col min="2" max="2" width="6" style="11" customWidth="1"/>
    <col min="3" max="3" width="7" style="45" customWidth="1"/>
    <col min="4" max="5" width="7.85546875" style="4" customWidth="1"/>
    <col min="6" max="6" width="9.140625" style="4" bestFit="1" customWidth="1"/>
    <col min="7" max="7" width="9.140625" style="4" customWidth="1"/>
    <col min="8" max="8" width="10.42578125" style="4" customWidth="1"/>
    <col min="9" max="9" width="10.85546875" style="4" bestFit="1" customWidth="1"/>
    <col min="10" max="10" width="9.5703125" style="4" customWidth="1"/>
    <col min="11" max="12" width="8.42578125" style="4" customWidth="1"/>
    <col min="13" max="15" width="10.140625" style="4" customWidth="1"/>
    <col min="16" max="16" width="7.7109375" style="4" customWidth="1"/>
    <col min="17" max="21" width="7.85546875" style="4" customWidth="1"/>
    <col min="22" max="27" width="9.7109375" style="5" customWidth="1"/>
    <col min="28" max="16384" width="11.7109375" style="4"/>
  </cols>
  <sheetData>
    <row r="1" spans="1:27" ht="14.4" x14ac:dyDescent="0.25">
      <c r="A1" s="1" t="s">
        <v>0</v>
      </c>
      <c r="B1" s="2"/>
      <c r="C1" s="3"/>
    </row>
    <row r="2" spans="1:27" s="6" customFormat="1" ht="14.4" x14ac:dyDescent="0.25">
      <c r="A2" s="116" t="s">
        <v>87</v>
      </c>
      <c r="B2" s="117"/>
      <c r="C2" s="118"/>
      <c r="D2" s="312"/>
      <c r="E2" s="313"/>
      <c r="F2" s="313"/>
      <c r="G2" s="313"/>
      <c r="H2" s="313"/>
      <c r="I2" s="313"/>
      <c r="J2" s="312"/>
      <c r="K2" s="313"/>
      <c r="L2" s="313"/>
      <c r="M2" s="313"/>
      <c r="N2" s="313"/>
      <c r="O2" s="313"/>
      <c r="P2" s="312"/>
      <c r="Q2" s="313"/>
      <c r="R2" s="313"/>
      <c r="S2" s="313"/>
      <c r="T2" s="313"/>
      <c r="U2" s="313"/>
      <c r="V2" s="312"/>
      <c r="W2" s="313"/>
      <c r="X2" s="313"/>
      <c r="Y2" s="313"/>
      <c r="Z2" s="313"/>
      <c r="AA2" s="313"/>
    </row>
    <row r="3" spans="1:27" s="6" customFormat="1" ht="14.4" x14ac:dyDescent="0.25">
      <c r="A3" s="363" t="s">
        <v>266</v>
      </c>
      <c r="B3" s="117"/>
      <c r="C3" s="118"/>
      <c r="D3" s="284"/>
      <c r="E3" s="285"/>
      <c r="F3" s="285"/>
      <c r="G3" s="285"/>
      <c r="H3" s="285"/>
      <c r="I3" s="285"/>
      <c r="J3" s="284"/>
      <c r="K3" s="285"/>
      <c r="L3" s="285"/>
      <c r="M3" s="285"/>
      <c r="N3" s="285"/>
      <c r="O3" s="285"/>
      <c r="P3" s="284"/>
      <c r="Q3" s="285"/>
      <c r="R3" s="285"/>
      <c r="S3" s="285"/>
      <c r="T3" s="285"/>
      <c r="U3" s="285"/>
      <c r="V3" s="284"/>
      <c r="W3" s="285"/>
      <c r="X3" s="285"/>
      <c r="Y3" s="285"/>
      <c r="Z3" s="285"/>
      <c r="AA3" s="285"/>
    </row>
    <row r="4" spans="1:27" s="6" customFormat="1" x14ac:dyDescent="0.25">
      <c r="A4" s="119" t="s">
        <v>1</v>
      </c>
      <c r="B4" s="120"/>
      <c r="C4" s="121"/>
      <c r="D4" s="314"/>
      <c r="E4" s="314"/>
      <c r="F4" s="314"/>
      <c r="G4" s="314"/>
      <c r="H4" s="314"/>
      <c r="I4" s="314"/>
      <c r="J4" s="8"/>
      <c r="K4" s="8"/>
      <c r="L4" s="8"/>
      <c r="M4" s="8"/>
      <c r="N4" s="8"/>
      <c r="O4" s="8"/>
      <c r="P4" s="8"/>
      <c r="Q4" s="8"/>
      <c r="R4" s="8"/>
      <c r="S4" s="8"/>
      <c r="T4" s="8"/>
      <c r="U4" s="8"/>
      <c r="V4" s="315"/>
      <c r="W4" s="314"/>
      <c r="X4" s="314"/>
      <c r="Y4" s="314"/>
      <c r="Z4" s="314"/>
      <c r="AA4" s="314"/>
    </row>
    <row r="5" spans="1:27" s="9" customFormat="1" ht="25.5" customHeight="1" x14ac:dyDescent="0.25">
      <c r="A5" s="317" t="s">
        <v>2</v>
      </c>
      <c r="B5" s="319" t="s">
        <v>41</v>
      </c>
      <c r="C5" s="321" t="s">
        <v>85</v>
      </c>
      <c r="D5" s="323" t="s">
        <v>3</v>
      </c>
      <c r="E5" s="324"/>
      <c r="F5" s="324"/>
      <c r="G5" s="324"/>
      <c r="H5" s="324"/>
      <c r="I5" s="325"/>
      <c r="J5" s="326" t="s">
        <v>4</v>
      </c>
      <c r="K5" s="327"/>
      <c r="L5" s="327"/>
      <c r="M5" s="327"/>
      <c r="N5" s="327"/>
      <c r="O5" s="328"/>
      <c r="P5" s="329" t="s">
        <v>5</v>
      </c>
      <c r="Q5" s="330"/>
      <c r="R5" s="330"/>
      <c r="S5" s="330"/>
      <c r="T5" s="330"/>
      <c r="U5" s="331"/>
      <c r="V5" s="316" t="s">
        <v>6</v>
      </c>
      <c r="W5" s="316"/>
      <c r="X5" s="316"/>
      <c r="Y5" s="316"/>
      <c r="Z5" s="316"/>
      <c r="AA5" s="316"/>
    </row>
    <row r="6" spans="1:27" s="54" customFormat="1" ht="25.2" customHeight="1" x14ac:dyDescent="0.25">
      <c r="A6" s="318"/>
      <c r="B6" s="320"/>
      <c r="C6" s="322"/>
      <c r="D6" s="73" t="s">
        <v>62</v>
      </c>
      <c r="E6" s="73" t="s">
        <v>7</v>
      </c>
      <c r="F6" s="73" t="s">
        <v>8</v>
      </c>
      <c r="G6" s="172">
        <v>2000</v>
      </c>
      <c r="H6" s="172">
        <v>2005</v>
      </c>
      <c r="I6" s="73" t="s">
        <v>9</v>
      </c>
      <c r="J6" s="64" t="s">
        <v>62</v>
      </c>
      <c r="K6" s="64" t="s">
        <v>7</v>
      </c>
      <c r="L6" s="64" t="s">
        <v>8</v>
      </c>
      <c r="M6" s="173">
        <v>2000</v>
      </c>
      <c r="N6" s="173">
        <v>2005</v>
      </c>
      <c r="O6" s="64" t="s">
        <v>9</v>
      </c>
      <c r="P6" s="174" t="s">
        <v>62</v>
      </c>
      <c r="Q6" s="174" t="s">
        <v>7</v>
      </c>
      <c r="R6" s="174" t="s">
        <v>8</v>
      </c>
      <c r="S6" s="175">
        <v>2000</v>
      </c>
      <c r="T6" s="175">
        <v>2005</v>
      </c>
      <c r="U6" s="174" t="s">
        <v>9</v>
      </c>
      <c r="V6" s="176" t="s">
        <v>62</v>
      </c>
      <c r="W6" s="176" t="s">
        <v>7</v>
      </c>
      <c r="X6" s="176" t="s">
        <v>8</v>
      </c>
      <c r="Y6" s="177">
        <v>2000</v>
      </c>
      <c r="Z6" s="177">
        <v>2005</v>
      </c>
      <c r="AA6" s="176" t="s">
        <v>9</v>
      </c>
    </row>
    <row r="7" spans="1:27" s="11" customFormat="1" x14ac:dyDescent="0.25">
      <c r="A7" s="12"/>
      <c r="B7" s="13"/>
      <c r="C7" s="14"/>
      <c r="D7" s="15"/>
      <c r="E7" s="15"/>
      <c r="F7" s="15"/>
      <c r="G7" s="13"/>
      <c r="H7" s="13"/>
      <c r="I7" s="15"/>
      <c r="J7" s="13"/>
      <c r="K7" s="13"/>
      <c r="L7" s="13"/>
      <c r="M7" s="13"/>
      <c r="N7" s="13"/>
      <c r="O7" s="13"/>
      <c r="P7" s="13"/>
      <c r="Q7" s="13"/>
      <c r="R7" s="13"/>
      <c r="S7" s="13"/>
      <c r="T7" s="13"/>
      <c r="U7" s="13"/>
      <c r="V7" s="16"/>
      <c r="W7" s="16"/>
      <c r="X7" s="16"/>
      <c r="Y7" s="16"/>
      <c r="Z7" s="16"/>
      <c r="AA7" s="16"/>
    </row>
    <row r="8" spans="1:27" s="10" customFormat="1" x14ac:dyDescent="0.25">
      <c r="A8" s="76" t="s">
        <v>14</v>
      </c>
      <c r="B8" s="65">
        <v>7</v>
      </c>
      <c r="C8" s="222" t="s">
        <v>112</v>
      </c>
      <c r="D8" s="185">
        <v>1902.9210805284881</v>
      </c>
      <c r="E8" s="185">
        <v>7323.5082993167052</v>
      </c>
      <c r="F8" s="185">
        <v>86108.934565982228</v>
      </c>
      <c r="G8" s="185">
        <v>1246927.773104788</v>
      </c>
      <c r="H8" s="185">
        <v>4989341.7328916471</v>
      </c>
      <c r="I8" s="185">
        <v>10310655.636555135</v>
      </c>
      <c r="J8" s="185">
        <v>1336981.1870556222</v>
      </c>
      <c r="K8" s="185">
        <v>1482105.7061752214</v>
      </c>
      <c r="L8" s="185">
        <v>1801779.8029206954</v>
      </c>
      <c r="M8" s="185">
        <v>2542378.9938118109</v>
      </c>
      <c r="N8" s="185">
        <v>4989341.7328916471</v>
      </c>
      <c r="O8" s="185">
        <v>6839202.8622215074</v>
      </c>
      <c r="P8" s="185">
        <v>13008.500071259572</v>
      </c>
      <c r="Q8" s="185">
        <v>14706.741412025734</v>
      </c>
      <c r="R8" s="185">
        <v>15506.283655693596</v>
      </c>
      <c r="S8" s="185">
        <v>25252.326771848402</v>
      </c>
      <c r="T8" s="185">
        <v>28151.968488942326</v>
      </c>
      <c r="U8" s="185">
        <v>31587.173719515748</v>
      </c>
      <c r="V8" s="18">
        <f t="shared" ref="V8:AA24" si="0">(J8*1000000)/(P8*1000)</f>
        <v>102777.5054565662</v>
      </c>
      <c r="W8" s="18">
        <f t="shared" si="0"/>
        <v>100777.30101131038</v>
      </c>
      <c r="X8" s="18">
        <f t="shared" si="0"/>
        <v>116196.75242166217</v>
      </c>
      <c r="Y8" s="18">
        <f t="shared" si="0"/>
        <v>100678.99947525175</v>
      </c>
      <c r="Z8" s="18">
        <f t="shared" si="0"/>
        <v>177228.8760145276</v>
      </c>
      <c r="AA8" s="18">
        <f t="shared" si="0"/>
        <v>216518.35403038893</v>
      </c>
    </row>
    <row r="9" spans="1:27" s="10" customFormat="1" x14ac:dyDescent="0.25">
      <c r="A9" s="76" t="s">
        <v>17</v>
      </c>
      <c r="B9" s="127">
        <f>+B8+1</f>
        <v>8</v>
      </c>
      <c r="C9" s="19" t="s">
        <v>18</v>
      </c>
      <c r="D9" s="20">
        <f t="shared" ref="D9:U9" si="1">+D10+D11+D14</f>
        <v>591.1437874915714</v>
      </c>
      <c r="E9" s="20">
        <f t="shared" si="1"/>
        <v>11324.778621472711</v>
      </c>
      <c r="F9" s="20">
        <f t="shared" si="1"/>
        <v>156446.47102239163</v>
      </c>
      <c r="G9" s="20">
        <f t="shared" si="1"/>
        <v>2504167.7837386299</v>
      </c>
      <c r="H9" s="20">
        <f t="shared" si="1"/>
        <v>6601378.420711549</v>
      </c>
      <c r="I9" s="20">
        <f t="shared" si="1"/>
        <v>15659520.995475462</v>
      </c>
      <c r="J9" s="20">
        <f t="shared" si="1"/>
        <v>197831.92227651962</v>
      </c>
      <c r="K9" s="20">
        <f t="shared" si="1"/>
        <v>4107721.1401597983</v>
      </c>
      <c r="L9" s="20">
        <f t="shared" si="1"/>
        <v>4758416.6816657437</v>
      </c>
      <c r="M9" s="20">
        <f t="shared" si="1"/>
        <v>5096520.8650487252</v>
      </c>
      <c r="N9" s="20">
        <f t="shared" si="1"/>
        <v>6601378.420711549</v>
      </c>
      <c r="O9" s="20">
        <f t="shared" si="1"/>
        <v>6461602.7426560791</v>
      </c>
      <c r="P9" s="20">
        <f t="shared" si="1"/>
        <v>882.23971681539706</v>
      </c>
      <c r="Q9" s="20">
        <f t="shared" si="1"/>
        <v>2106.6015570733152</v>
      </c>
      <c r="R9" s="20">
        <f t="shared" si="1"/>
        <v>1972.9312862019719</v>
      </c>
      <c r="S9" s="20">
        <f t="shared" si="1"/>
        <v>1646.0778151744307</v>
      </c>
      <c r="T9" s="20">
        <f t="shared" si="1"/>
        <v>2266.3101510607985</v>
      </c>
      <c r="U9" s="20">
        <f t="shared" si="1"/>
        <v>3253.0434002584234</v>
      </c>
      <c r="V9" s="18">
        <f t="shared" si="0"/>
        <v>224238.28638165322</v>
      </c>
      <c r="W9" s="18">
        <f t="shared" si="0"/>
        <v>1949927.8951766384</v>
      </c>
      <c r="X9" s="18">
        <f t="shared" si="0"/>
        <v>2411851.1957028275</v>
      </c>
      <c r="Y9" s="18">
        <f t="shared" si="0"/>
        <v>3096160.3504198012</v>
      </c>
      <c r="Z9" s="18">
        <f t="shared" si="0"/>
        <v>2912830.9810648034</v>
      </c>
      <c r="AA9" s="18">
        <f t="shared" si="0"/>
        <v>1986325.4028958748</v>
      </c>
    </row>
    <row r="10" spans="1:27" s="10" customFormat="1" x14ac:dyDescent="0.25">
      <c r="A10" s="77" t="s">
        <v>19</v>
      </c>
      <c r="B10" s="128">
        <f t="shared" ref="B10:B23" si="2">+B9+1</f>
        <v>9</v>
      </c>
      <c r="C10" s="223" t="s">
        <v>112</v>
      </c>
      <c r="D10" s="185">
        <v>25.316468494817734</v>
      </c>
      <c r="E10" s="185">
        <v>4411.8169996793613</v>
      </c>
      <c r="F10" s="185">
        <v>105713.40427788906</v>
      </c>
      <c r="G10" s="185">
        <v>2289889.3755857334</v>
      </c>
      <c r="H10" s="185">
        <v>5937882.704248541</v>
      </c>
      <c r="I10" s="185">
        <v>14551490.90876648</v>
      </c>
      <c r="J10" s="185">
        <v>130494.22945427484</v>
      </c>
      <c r="K10" s="185">
        <v>3841307.6567956982</v>
      </c>
      <c r="L10" s="185">
        <v>4345035.4056991823</v>
      </c>
      <c r="M10" s="185">
        <v>4643167.0168869989</v>
      </c>
      <c r="N10" s="185">
        <v>5937882.704248541</v>
      </c>
      <c r="O10" s="185">
        <v>5399350.0221368009</v>
      </c>
      <c r="P10" s="185">
        <v>42.045698924448502</v>
      </c>
      <c r="Q10" s="185">
        <v>39.248896769108995</v>
      </c>
      <c r="R10" s="185">
        <v>120.94515752299444</v>
      </c>
      <c r="S10" s="185">
        <v>28.24285957057711</v>
      </c>
      <c r="T10" s="185">
        <v>69.09998444795859</v>
      </c>
      <c r="U10" s="185">
        <v>120.76237880177629</v>
      </c>
      <c r="V10" s="23">
        <f t="shared" si="0"/>
        <v>3103628.4992849953</v>
      </c>
      <c r="W10" s="23">
        <f t="shared" si="0"/>
        <v>97870461.923888147</v>
      </c>
      <c r="X10" s="23">
        <f t="shared" si="0"/>
        <v>35925666.59705323</v>
      </c>
      <c r="Y10" s="23">
        <f t="shared" si="0"/>
        <v>164401448.27700678</v>
      </c>
      <c r="Z10" s="23">
        <f t="shared" si="0"/>
        <v>85931751.673845172</v>
      </c>
      <c r="AA10" s="23">
        <f t="shared" si="0"/>
        <v>44710530.512151368</v>
      </c>
    </row>
    <row r="11" spans="1:27" s="10" customFormat="1" x14ac:dyDescent="0.25">
      <c r="A11" s="77" t="s">
        <v>20</v>
      </c>
      <c r="B11" s="128">
        <f t="shared" si="2"/>
        <v>10</v>
      </c>
      <c r="C11" s="223" t="s">
        <v>112</v>
      </c>
      <c r="D11" s="185">
        <v>356.54035050100038</v>
      </c>
      <c r="E11" s="185">
        <v>5150.2904527081046</v>
      </c>
      <c r="F11" s="185">
        <v>39749.70148851609</v>
      </c>
      <c r="G11" s="185">
        <v>173035.31438722601</v>
      </c>
      <c r="H11" s="185">
        <v>424983.10190499038</v>
      </c>
      <c r="I11" s="185">
        <v>643070.21935720707</v>
      </c>
      <c r="J11" s="185">
        <v>26901.421202770038</v>
      </c>
      <c r="K11" s="185">
        <v>133255.87275508558</v>
      </c>
      <c r="L11" s="185">
        <v>293154.92267721763</v>
      </c>
      <c r="M11" s="185">
        <v>278444.03269073344</v>
      </c>
      <c r="N11" s="185">
        <v>424983.10190499038</v>
      </c>
      <c r="O11" s="185">
        <v>643519.89026541857</v>
      </c>
      <c r="P11" s="185">
        <v>566.89697488203331</v>
      </c>
      <c r="Q11" s="185">
        <v>1646.2944946001012</v>
      </c>
      <c r="R11" s="185">
        <v>1376.2574780680116</v>
      </c>
      <c r="S11" s="185">
        <v>1230.7442854796543</v>
      </c>
      <c r="T11" s="185">
        <v>1643.3617449964418</v>
      </c>
      <c r="U11" s="185">
        <v>2176.9832314630107</v>
      </c>
      <c r="V11" s="23">
        <f t="shared" si="0"/>
        <v>47453.809765642174</v>
      </c>
      <c r="W11" s="23">
        <f t="shared" si="0"/>
        <v>80942.913429018401</v>
      </c>
      <c r="X11" s="23">
        <f t="shared" si="0"/>
        <v>213008.77731741604</v>
      </c>
      <c r="Y11" s="23">
        <f t="shared" si="0"/>
        <v>226240.36201168815</v>
      </c>
      <c r="Z11" s="23">
        <f t="shared" si="0"/>
        <v>258605.93578920784</v>
      </c>
      <c r="AA11" s="23">
        <f t="shared" si="0"/>
        <v>295601.67527471035</v>
      </c>
    </row>
    <row r="12" spans="1:27" s="25" customFormat="1" x14ac:dyDescent="0.25">
      <c r="A12" s="24" t="s">
        <v>21</v>
      </c>
      <c r="B12" s="128">
        <f t="shared" si="2"/>
        <v>11</v>
      </c>
      <c r="C12" s="223" t="s">
        <v>112</v>
      </c>
      <c r="D12" s="185">
        <v>63.825639652662794</v>
      </c>
      <c r="E12" s="185">
        <v>492.04529305914662</v>
      </c>
      <c r="F12" s="185">
        <v>6594.035724390189</v>
      </c>
      <c r="G12" s="185">
        <v>10449.559672277437</v>
      </c>
      <c r="H12" s="185">
        <v>21389.517571133754</v>
      </c>
      <c r="I12" s="185">
        <v>70293.718657305842</v>
      </c>
      <c r="J12" s="185">
        <v>853.67354307711514</v>
      </c>
      <c r="K12" s="185">
        <v>4733.0412996392706</v>
      </c>
      <c r="L12" s="185">
        <v>9669.8456948354542</v>
      </c>
      <c r="M12" s="185">
        <v>11420.754720995332</v>
      </c>
      <c r="N12" s="185">
        <v>21389.517571133754</v>
      </c>
      <c r="O12" s="185">
        <v>26032.244710093008</v>
      </c>
      <c r="P12" s="185">
        <v>21.022849462224251</v>
      </c>
      <c r="Q12" s="185">
        <v>95.45042852110808</v>
      </c>
      <c r="R12" s="185">
        <v>139.55628929749633</v>
      </c>
      <c r="S12" s="185">
        <v>108.75640795067596</v>
      </c>
      <c r="T12" s="185">
        <v>139.93055070184144</v>
      </c>
      <c r="U12" s="185">
        <v>116.99698637672748</v>
      </c>
      <c r="V12" s="23">
        <f t="shared" si="0"/>
        <v>40606.937923000056</v>
      </c>
      <c r="W12" s="23">
        <f t="shared" si="0"/>
        <v>49586.380836337441</v>
      </c>
      <c r="X12" s="23">
        <f t="shared" si="0"/>
        <v>69289.931277994605</v>
      </c>
      <c r="Y12" s="23">
        <f t="shared" si="0"/>
        <v>105012.24650758014</v>
      </c>
      <c r="Z12" s="23">
        <f t="shared" si="0"/>
        <v>152858.09613305749</v>
      </c>
      <c r="AA12" s="23">
        <f t="shared" si="0"/>
        <v>222503.54916211092</v>
      </c>
    </row>
    <row r="13" spans="1:27" s="25" customFormat="1" x14ac:dyDescent="0.25">
      <c r="A13" s="26" t="s">
        <v>22</v>
      </c>
      <c r="B13" s="128">
        <f t="shared" si="2"/>
        <v>12</v>
      </c>
      <c r="C13" s="223" t="s">
        <v>112</v>
      </c>
      <c r="D13" s="185">
        <v>145.46132884309048</v>
      </c>
      <c r="E13" s="185">
        <v>1270.6258760260978</v>
      </c>
      <c r="F13" s="185">
        <v>4389.3295315963005</v>
      </c>
      <c r="G13" s="185">
        <v>30793.534093393053</v>
      </c>
      <c r="H13" s="185">
        <v>217123.09698688443</v>
      </c>
      <c r="I13" s="185">
        <v>394666.14869446855</v>
      </c>
      <c r="J13" s="185">
        <v>39582.598076397633</v>
      </c>
      <c r="K13" s="185">
        <v>128424.56930937505</v>
      </c>
      <c r="L13" s="185">
        <v>110556.50759450819</v>
      </c>
      <c r="M13" s="185">
        <v>163489.06074999773</v>
      </c>
      <c r="N13" s="185">
        <v>217123.09698688443</v>
      </c>
      <c r="O13" s="185">
        <v>392700.58554376685</v>
      </c>
      <c r="P13" s="185">
        <v>252.27419354669101</v>
      </c>
      <c r="Q13" s="185">
        <v>325.60773718299686</v>
      </c>
      <c r="R13" s="185">
        <v>336.17236131346959</v>
      </c>
      <c r="S13" s="185">
        <v>278.33426217352337</v>
      </c>
      <c r="T13" s="185">
        <v>413.9178709145566</v>
      </c>
      <c r="U13" s="185">
        <v>838.30080361690909</v>
      </c>
      <c r="V13" s="23">
        <f t="shared" si="0"/>
        <v>156903.080413858</v>
      </c>
      <c r="W13" s="23">
        <f t="shared" si="0"/>
        <v>394414.98049291852</v>
      </c>
      <c r="X13" s="23">
        <f t="shared" si="0"/>
        <v>328868.5219764926</v>
      </c>
      <c r="Y13" s="23">
        <f t="shared" si="0"/>
        <v>587383.88681761688</v>
      </c>
      <c r="Z13" s="23">
        <f t="shared" si="0"/>
        <v>524555.98620844341</v>
      </c>
      <c r="AA13" s="23">
        <f t="shared" si="0"/>
        <v>468448.2990466333</v>
      </c>
    </row>
    <row r="14" spans="1:27" s="10" customFormat="1" x14ac:dyDescent="0.25">
      <c r="A14" s="141" t="s">
        <v>61</v>
      </c>
      <c r="B14" s="129">
        <f t="shared" si="2"/>
        <v>13</v>
      </c>
      <c r="C14" s="27" t="s">
        <v>18</v>
      </c>
      <c r="D14" s="28">
        <f>+D13+D12</f>
        <v>209.28696849575329</v>
      </c>
      <c r="E14" s="28">
        <f t="shared" ref="E14:I14" si="3">+E13+E12</f>
        <v>1762.6711690852444</v>
      </c>
      <c r="F14" s="28">
        <f t="shared" si="3"/>
        <v>10983.36525598649</v>
      </c>
      <c r="G14" s="28">
        <f t="shared" si="3"/>
        <v>41243.093765670492</v>
      </c>
      <c r="H14" s="28">
        <f t="shared" si="3"/>
        <v>238512.61455801819</v>
      </c>
      <c r="I14" s="28">
        <f t="shared" si="3"/>
        <v>464959.86735177436</v>
      </c>
      <c r="J14" s="28">
        <f>+J13+J12</f>
        <v>40436.271619474748</v>
      </c>
      <c r="K14" s="28">
        <f t="shared" ref="K14:O14" si="4">+K13+K12</f>
        <v>133157.61060901431</v>
      </c>
      <c r="L14" s="28">
        <f t="shared" si="4"/>
        <v>120226.35328934365</v>
      </c>
      <c r="M14" s="28">
        <f t="shared" si="4"/>
        <v>174909.81547099305</v>
      </c>
      <c r="N14" s="28">
        <f t="shared" si="4"/>
        <v>238512.61455801819</v>
      </c>
      <c r="O14" s="28">
        <f t="shared" si="4"/>
        <v>418732.83025385987</v>
      </c>
      <c r="P14" s="28">
        <f>+P13+P12</f>
        <v>273.29704300891524</v>
      </c>
      <c r="Q14" s="28">
        <f t="shared" ref="Q14:U14" si="5">+Q13+Q12</f>
        <v>421.05816570410491</v>
      </c>
      <c r="R14" s="28">
        <f t="shared" si="5"/>
        <v>475.72865061096593</v>
      </c>
      <c r="S14" s="28">
        <f t="shared" si="5"/>
        <v>387.09067012419933</v>
      </c>
      <c r="T14" s="28">
        <f t="shared" si="5"/>
        <v>553.84842161639801</v>
      </c>
      <c r="U14" s="28">
        <f t="shared" si="5"/>
        <v>955.29778999363657</v>
      </c>
      <c r="V14" s="23">
        <f t="shared" si="0"/>
        <v>147957.22329917661</v>
      </c>
      <c r="W14" s="23">
        <f t="shared" si="0"/>
        <v>316245.16861309297</v>
      </c>
      <c r="X14" s="23">
        <f t="shared" si="0"/>
        <v>252720.43871005051</v>
      </c>
      <c r="Y14" s="23">
        <f t="shared" si="0"/>
        <v>451857.48190436268</v>
      </c>
      <c r="Z14" s="23">
        <f t="shared" si="0"/>
        <v>430646.01296853536</v>
      </c>
      <c r="AA14" s="23">
        <f t="shared" si="0"/>
        <v>438327.01660144021</v>
      </c>
    </row>
    <row r="15" spans="1:27" s="10" customFormat="1" x14ac:dyDescent="0.25">
      <c r="A15" s="76" t="s">
        <v>23</v>
      </c>
      <c r="B15" s="127">
        <f t="shared" si="2"/>
        <v>14</v>
      </c>
      <c r="C15" s="19" t="s">
        <v>18</v>
      </c>
      <c r="D15" s="20">
        <f t="shared" ref="D15:U15" si="6">+D16+D21</f>
        <v>771.51537586628365</v>
      </c>
      <c r="E15" s="20">
        <f t="shared" si="6"/>
        <v>5326.4826359759172</v>
      </c>
      <c r="F15" s="20">
        <f t="shared" si="6"/>
        <v>49457.868270096304</v>
      </c>
      <c r="G15" s="20">
        <f t="shared" si="6"/>
        <v>775514.86036978825</v>
      </c>
      <c r="H15" s="20">
        <f t="shared" si="6"/>
        <v>2591554.4444416459</v>
      </c>
      <c r="I15" s="20">
        <f t="shared" si="6"/>
        <v>6629598.5535264872</v>
      </c>
      <c r="J15" s="20">
        <f t="shared" si="6"/>
        <v>323839.52592934889</v>
      </c>
      <c r="K15" s="20">
        <f t="shared" si="6"/>
        <v>762688.62970328773</v>
      </c>
      <c r="L15" s="20">
        <f t="shared" si="6"/>
        <v>1214186.6774859594</v>
      </c>
      <c r="M15" s="20">
        <f t="shared" si="6"/>
        <v>1481921.9722953187</v>
      </c>
      <c r="N15" s="20">
        <f t="shared" si="6"/>
        <v>2591554.4444416459</v>
      </c>
      <c r="O15" s="20">
        <f t="shared" si="6"/>
        <v>4853383.8167587202</v>
      </c>
      <c r="P15" s="20">
        <f t="shared" si="6"/>
        <v>2749.0255514250289</v>
      </c>
      <c r="Q15" s="20">
        <f t="shared" si="6"/>
        <v>7703.9032006458228</v>
      </c>
      <c r="R15" s="20">
        <f t="shared" si="6"/>
        <v>13509.226664051952</v>
      </c>
      <c r="S15" s="20">
        <f t="shared" si="6"/>
        <v>12752.806894096098</v>
      </c>
      <c r="T15" s="20">
        <f t="shared" si="6"/>
        <v>14690.052978493877</v>
      </c>
      <c r="U15" s="20">
        <f t="shared" si="6"/>
        <v>17232.457125154804</v>
      </c>
      <c r="V15" s="18">
        <f t="shared" si="0"/>
        <v>117801.57000049643</v>
      </c>
      <c r="W15" s="18">
        <f t="shared" si="0"/>
        <v>99000.287236131291</v>
      </c>
      <c r="X15" s="18">
        <f t="shared" si="0"/>
        <v>89878.325953099134</v>
      </c>
      <c r="Y15" s="18">
        <f t="shared" si="0"/>
        <v>116203.59224457272</v>
      </c>
      <c r="Z15" s="18">
        <f t="shared" si="0"/>
        <v>176415.59552138182</v>
      </c>
      <c r="AA15" s="18">
        <f t="shared" si="0"/>
        <v>281642.00737653772</v>
      </c>
    </row>
    <row r="16" spans="1:27" s="10" customFormat="1" x14ac:dyDescent="0.25">
      <c r="A16" s="77" t="s">
        <v>24</v>
      </c>
      <c r="B16" s="128">
        <f t="shared" si="2"/>
        <v>15</v>
      </c>
      <c r="C16" s="27" t="s">
        <v>18</v>
      </c>
      <c r="D16" s="28">
        <f t="shared" ref="D16:U16" si="7">+D19+D20</f>
        <v>652.68403845809542</v>
      </c>
      <c r="E16" s="28">
        <f t="shared" si="7"/>
        <v>4304.9254934045148</v>
      </c>
      <c r="F16" s="28">
        <f t="shared" si="7"/>
        <v>45187.969461540575</v>
      </c>
      <c r="G16" s="28">
        <f t="shared" si="7"/>
        <v>648932.16821504582</v>
      </c>
      <c r="H16" s="28">
        <f t="shared" si="7"/>
        <v>2304442.2107411018</v>
      </c>
      <c r="I16" s="28">
        <f t="shared" si="7"/>
        <v>6028084.0884529483</v>
      </c>
      <c r="J16" s="28">
        <f t="shared" si="7"/>
        <v>308039.67574381718</v>
      </c>
      <c r="K16" s="28">
        <f t="shared" si="7"/>
        <v>670315.51024448953</v>
      </c>
      <c r="L16" s="28">
        <f t="shared" si="7"/>
        <v>1090276.3660415381</v>
      </c>
      <c r="M16" s="28">
        <f t="shared" si="7"/>
        <v>1286270.6521388229</v>
      </c>
      <c r="N16" s="28">
        <f t="shared" si="7"/>
        <v>2304442.2107411018</v>
      </c>
      <c r="O16" s="28">
        <f t="shared" si="7"/>
        <v>4432803.2886328306</v>
      </c>
      <c r="P16" s="28">
        <f t="shared" si="7"/>
        <v>2491.2436593034745</v>
      </c>
      <c r="Q16" s="28">
        <f t="shared" si="7"/>
        <v>4354.9560569643172</v>
      </c>
      <c r="R16" s="28">
        <f t="shared" si="7"/>
        <v>9573.7343469537373</v>
      </c>
      <c r="S16" s="28">
        <f t="shared" si="7"/>
        <v>8593.1325361530253</v>
      </c>
      <c r="T16" s="28">
        <f t="shared" si="7"/>
        <v>9840.3210812517991</v>
      </c>
      <c r="U16" s="28">
        <f t="shared" si="7"/>
        <v>11830.470001052845</v>
      </c>
      <c r="V16" s="23">
        <f t="shared" si="0"/>
        <v>123648.95524909909</v>
      </c>
      <c r="W16" s="23">
        <f t="shared" si="0"/>
        <v>153920.15475622096</v>
      </c>
      <c r="X16" s="23">
        <f t="shared" si="0"/>
        <v>113882.03667761607</v>
      </c>
      <c r="Y16" s="23">
        <f t="shared" si="0"/>
        <v>149685.88541224349</v>
      </c>
      <c r="Z16" s="23">
        <f t="shared" si="0"/>
        <v>234183.64011837213</v>
      </c>
      <c r="AA16" s="23">
        <f t="shared" si="0"/>
        <v>374693.76011589874</v>
      </c>
    </row>
    <row r="17" spans="1:27" s="25" customFormat="1" x14ac:dyDescent="0.25">
      <c r="A17" s="26" t="s">
        <v>25</v>
      </c>
      <c r="B17" s="128">
        <f t="shared" si="2"/>
        <v>16</v>
      </c>
      <c r="C17" s="223" t="s">
        <v>112</v>
      </c>
      <c r="D17" s="185">
        <v>506.81519084133879</v>
      </c>
      <c r="E17" s="185">
        <v>3162.3926064404395</v>
      </c>
      <c r="F17" s="185">
        <v>36700.773933012766</v>
      </c>
      <c r="G17" s="185">
        <v>544587.25741908245</v>
      </c>
      <c r="H17" s="185">
        <v>1952499.8539072145</v>
      </c>
      <c r="I17" s="185">
        <v>4648696.9777351217</v>
      </c>
      <c r="J17" s="185">
        <v>282930.054391196</v>
      </c>
      <c r="K17" s="185">
        <v>574296.07471084513</v>
      </c>
      <c r="L17" s="185">
        <v>894442.54851855233</v>
      </c>
      <c r="M17" s="185">
        <v>1077683.0160661326</v>
      </c>
      <c r="N17" s="185">
        <v>1952499.8539072145</v>
      </c>
      <c r="O17" s="185">
        <v>3660361.9424731545</v>
      </c>
      <c r="P17" s="185">
        <v>2154.8780679078864</v>
      </c>
      <c r="Q17" s="185">
        <v>3821.7551761012419</v>
      </c>
      <c r="R17" s="185">
        <v>8342.4645464118257</v>
      </c>
      <c r="S17" s="185">
        <v>7486.950368890276</v>
      </c>
      <c r="T17" s="185">
        <v>7983.0486505139115</v>
      </c>
      <c r="U17" s="185">
        <v>8810.0895866335431</v>
      </c>
      <c r="V17" s="23">
        <f t="shared" si="0"/>
        <v>131297.47738621946</v>
      </c>
      <c r="W17" s="23">
        <f t="shared" si="0"/>
        <v>150270.24187789875</v>
      </c>
      <c r="X17" s="23">
        <f t="shared" si="0"/>
        <v>107215.62477640505</v>
      </c>
      <c r="Y17" s="23">
        <f t="shared" si="0"/>
        <v>143941.51997375506</v>
      </c>
      <c r="Z17" s="23">
        <f t="shared" si="0"/>
        <v>244580.72841401532</v>
      </c>
      <c r="AA17" s="23">
        <f t="shared" si="0"/>
        <v>415473.86169904197</v>
      </c>
    </row>
    <row r="18" spans="1:27" s="25" customFormat="1" x14ac:dyDescent="0.25">
      <c r="A18" s="26" t="s">
        <v>26</v>
      </c>
      <c r="B18" s="128">
        <f t="shared" si="2"/>
        <v>17</v>
      </c>
      <c r="C18" s="223" t="s">
        <v>112</v>
      </c>
      <c r="D18" s="185">
        <v>97.414994037946201</v>
      </c>
      <c r="E18" s="185">
        <v>441.10180063259963</v>
      </c>
      <c r="F18" s="185">
        <v>2853.6984864875099</v>
      </c>
      <c r="G18" s="185">
        <v>57026.263599813188</v>
      </c>
      <c r="H18" s="185">
        <v>186148.67780764541</v>
      </c>
      <c r="I18" s="185">
        <v>791543.34494159836</v>
      </c>
      <c r="J18" s="185">
        <v>19440.663920445644</v>
      </c>
      <c r="K18" s="185">
        <v>41979.231140720454</v>
      </c>
      <c r="L18" s="185">
        <v>46072.456134448366</v>
      </c>
      <c r="M18" s="185">
        <v>64674.592342904885</v>
      </c>
      <c r="N18" s="185">
        <v>186148.67780764541</v>
      </c>
      <c r="O18" s="185">
        <v>366836.51729445212</v>
      </c>
      <c r="P18" s="185">
        <v>294.31989247113944</v>
      </c>
      <c r="Q18" s="185">
        <v>433.26673342780231</v>
      </c>
      <c r="R18" s="185">
        <v>982.99476349395752</v>
      </c>
      <c r="S18" s="185">
        <v>856.57823739618379</v>
      </c>
      <c r="T18" s="185">
        <v>1272.1565617675346</v>
      </c>
      <c r="U18" s="185">
        <v>1586.1984382513363</v>
      </c>
      <c r="V18" s="23">
        <f t="shared" si="0"/>
        <v>66052.837126365717</v>
      </c>
      <c r="W18" s="23">
        <f t="shared" si="0"/>
        <v>96890.040018998334</v>
      </c>
      <c r="X18" s="23">
        <f t="shared" si="0"/>
        <v>46869.482773935015</v>
      </c>
      <c r="Y18" s="23">
        <f t="shared" si="0"/>
        <v>75503.426913462026</v>
      </c>
      <c r="Z18" s="23">
        <f t="shared" si="0"/>
        <v>146325.28998554265</v>
      </c>
      <c r="AA18" s="23">
        <f t="shared" si="0"/>
        <v>231267.73324708454</v>
      </c>
    </row>
    <row r="19" spans="1:27" s="10" customFormat="1" x14ac:dyDescent="0.25">
      <c r="A19" s="77" t="s">
        <v>27</v>
      </c>
      <c r="B19" s="128">
        <f t="shared" si="2"/>
        <v>18</v>
      </c>
      <c r="C19" s="27" t="s">
        <v>18</v>
      </c>
      <c r="D19" s="28">
        <f>+D18+D17</f>
        <v>604.23018487928493</v>
      </c>
      <c r="E19" s="28">
        <f t="shared" ref="E19:I19" si="8">+E18+E17</f>
        <v>3603.4944070730389</v>
      </c>
      <c r="F19" s="28">
        <f t="shared" si="8"/>
        <v>39554.472419500278</v>
      </c>
      <c r="G19" s="28">
        <f t="shared" si="8"/>
        <v>601613.52101889567</v>
      </c>
      <c r="H19" s="28">
        <f t="shared" si="8"/>
        <v>2138648.5317148599</v>
      </c>
      <c r="I19" s="28">
        <f t="shared" si="8"/>
        <v>5440240.3226767201</v>
      </c>
      <c r="J19" s="28">
        <f>+J18+J17</f>
        <v>302370.71831164166</v>
      </c>
      <c r="K19" s="28">
        <f t="shared" ref="K19:O19" si="9">+K18+K17</f>
        <v>616275.30585156556</v>
      </c>
      <c r="L19" s="28">
        <f t="shared" si="9"/>
        <v>940515.00465300074</v>
      </c>
      <c r="M19" s="28">
        <f t="shared" si="9"/>
        <v>1142357.6084090373</v>
      </c>
      <c r="N19" s="28">
        <f t="shared" si="9"/>
        <v>2138648.5317148599</v>
      </c>
      <c r="O19" s="28">
        <f t="shared" si="9"/>
        <v>4027198.4597676066</v>
      </c>
      <c r="P19" s="28">
        <f>+P18+P17</f>
        <v>2449.197960379026</v>
      </c>
      <c r="Q19" s="28">
        <f t="shared" ref="Q19:U19" si="10">+Q18+Q17</f>
        <v>4255.021909529044</v>
      </c>
      <c r="R19" s="28">
        <f t="shared" si="10"/>
        <v>9325.4593099057838</v>
      </c>
      <c r="S19" s="28">
        <f t="shared" si="10"/>
        <v>8343.5286062864598</v>
      </c>
      <c r="T19" s="28">
        <f t="shared" si="10"/>
        <v>9255.2052122814457</v>
      </c>
      <c r="U19" s="28">
        <f t="shared" si="10"/>
        <v>10396.28802488488</v>
      </c>
      <c r="V19" s="23">
        <f t="shared" si="0"/>
        <v>123457.03499804004</v>
      </c>
      <c r="W19" s="23">
        <f t="shared" si="0"/>
        <v>144834.81376944928</v>
      </c>
      <c r="X19" s="23">
        <f t="shared" si="0"/>
        <v>100854.55025834034</v>
      </c>
      <c r="Y19" s="23">
        <f t="shared" si="0"/>
        <v>136915.40621654058</v>
      </c>
      <c r="Z19" s="23">
        <f t="shared" si="0"/>
        <v>231075.2147210007</v>
      </c>
      <c r="AA19" s="23">
        <f t="shared" si="0"/>
        <v>387368.88109755889</v>
      </c>
    </row>
    <row r="20" spans="1:27" s="10" customFormat="1" x14ac:dyDescent="0.25">
      <c r="A20" s="78" t="s">
        <v>109</v>
      </c>
      <c r="B20" s="128">
        <f>+B19+1</f>
        <v>19</v>
      </c>
      <c r="C20" s="224" t="s">
        <v>112</v>
      </c>
      <c r="D20" s="216">
        <v>48.453853578810509</v>
      </c>
      <c r="E20" s="216">
        <v>701.4310863314754</v>
      </c>
      <c r="F20" s="216">
        <v>5633.4970420402969</v>
      </c>
      <c r="G20" s="216">
        <v>47318.647196150181</v>
      </c>
      <c r="H20" s="216">
        <v>165793.67902624176</v>
      </c>
      <c r="I20" s="216">
        <v>587843.76577622816</v>
      </c>
      <c r="J20" s="216">
        <v>5668.9574321754953</v>
      </c>
      <c r="K20" s="216">
        <v>54040.20439292393</v>
      </c>
      <c r="L20" s="216">
        <v>149761.36138853733</v>
      </c>
      <c r="M20" s="216">
        <v>143913.0437297856</v>
      </c>
      <c r="N20" s="216">
        <v>165793.67902624176</v>
      </c>
      <c r="O20" s="216">
        <v>405604.82886522438</v>
      </c>
      <c r="P20" s="216">
        <v>42.045698924448502</v>
      </c>
      <c r="Q20" s="216">
        <v>99.934147435272848</v>
      </c>
      <c r="R20" s="216">
        <v>248.2750370479543</v>
      </c>
      <c r="S20" s="216">
        <v>249.60392986656524</v>
      </c>
      <c r="T20" s="216">
        <v>585.11586897035261</v>
      </c>
      <c r="U20" s="216">
        <v>1434.181976167966</v>
      </c>
      <c r="V20" s="23">
        <f t="shared" si="0"/>
        <v>134828.47418857249</v>
      </c>
      <c r="W20" s="23">
        <f t="shared" si="0"/>
        <v>540758.14703803486</v>
      </c>
      <c r="X20" s="23">
        <f t="shared" si="0"/>
        <v>603207.48782976088</v>
      </c>
      <c r="Y20" s="23">
        <f t="shared" si="0"/>
        <v>576565.61660194804</v>
      </c>
      <c r="Z20" s="23">
        <f t="shared" si="0"/>
        <v>283351.87578828493</v>
      </c>
      <c r="AA20" s="23">
        <f t="shared" si="0"/>
        <v>282812.666457413</v>
      </c>
    </row>
    <row r="21" spans="1:27" s="10" customFormat="1" x14ac:dyDescent="0.25">
      <c r="A21" s="77" t="s">
        <v>32</v>
      </c>
      <c r="B21" s="128">
        <f t="shared" si="2"/>
        <v>20</v>
      </c>
      <c r="C21" s="27" t="s">
        <v>18</v>
      </c>
      <c r="D21" s="28">
        <f>+D22+D23</f>
        <v>118.83133740818823</v>
      </c>
      <c r="E21" s="28">
        <f t="shared" ref="E21:U21" si="11">+E22+E23</f>
        <v>1021.557142571402</v>
      </c>
      <c r="F21" s="28">
        <f t="shared" si="11"/>
        <v>4269.8988085557276</v>
      </c>
      <c r="G21" s="28">
        <f t="shared" si="11"/>
        <v>126582.69215474246</v>
      </c>
      <c r="H21" s="28">
        <f t="shared" si="11"/>
        <v>287112.23370054417</v>
      </c>
      <c r="I21" s="28">
        <f t="shared" si="11"/>
        <v>601514.46507353929</v>
      </c>
      <c r="J21" s="28">
        <f t="shared" si="11"/>
        <v>15799.850185531701</v>
      </c>
      <c r="K21" s="28">
        <f t="shared" si="11"/>
        <v>92373.119458798144</v>
      </c>
      <c r="L21" s="28">
        <f t="shared" si="11"/>
        <v>123910.31144442128</v>
      </c>
      <c r="M21" s="28">
        <f t="shared" si="11"/>
        <v>195651.32015649581</v>
      </c>
      <c r="N21" s="28">
        <f t="shared" si="11"/>
        <v>287112.23370054417</v>
      </c>
      <c r="O21" s="28">
        <f t="shared" si="11"/>
        <v>420580.52812588937</v>
      </c>
      <c r="P21" s="28">
        <f t="shared" si="11"/>
        <v>257.78189212155451</v>
      </c>
      <c r="Q21" s="28">
        <f t="shared" si="11"/>
        <v>3348.9471436815056</v>
      </c>
      <c r="R21" s="28">
        <f t="shared" si="11"/>
        <v>3935.4923170982138</v>
      </c>
      <c r="S21" s="28">
        <f t="shared" si="11"/>
        <v>4159.6743579430722</v>
      </c>
      <c r="T21" s="28">
        <f t="shared" si="11"/>
        <v>4849.7318972420771</v>
      </c>
      <c r="U21" s="28">
        <f t="shared" si="11"/>
        <v>5401.9871241019609</v>
      </c>
      <c r="V21" s="23">
        <f t="shared" si="0"/>
        <v>61291.544008379911</v>
      </c>
      <c r="W21" s="23">
        <f t="shared" si="0"/>
        <v>27582.734362672607</v>
      </c>
      <c r="X21" s="23">
        <f t="shared" si="0"/>
        <v>31485.33943417402</v>
      </c>
      <c r="Y21" s="23">
        <f t="shared" si="0"/>
        <v>47035.249233606817</v>
      </c>
      <c r="Z21" s="23">
        <f t="shared" si="0"/>
        <v>59201.671305545337</v>
      </c>
      <c r="AA21" s="23">
        <f t="shared" si="0"/>
        <v>77856.632839680751</v>
      </c>
    </row>
    <row r="22" spans="1:27" s="10" customFormat="1" x14ac:dyDescent="0.25">
      <c r="A22" s="77" t="s">
        <v>33</v>
      </c>
      <c r="B22" s="128">
        <f t="shared" si="2"/>
        <v>21</v>
      </c>
      <c r="C22" s="223" t="s">
        <v>112</v>
      </c>
      <c r="D22" s="185">
        <v>67.198624139143135</v>
      </c>
      <c r="E22" s="185">
        <v>722.22212355290969</v>
      </c>
      <c r="F22" s="185">
        <v>3345.6651667662095</v>
      </c>
      <c r="G22" s="185">
        <v>83136.999441730761</v>
      </c>
      <c r="H22" s="185">
        <v>154933.04551965595</v>
      </c>
      <c r="I22" s="185">
        <v>292749.62906742253</v>
      </c>
      <c r="J22" s="185">
        <v>7113.4406245745731</v>
      </c>
      <c r="K22" s="185">
        <v>56749.69841336432</v>
      </c>
      <c r="L22" s="185">
        <v>93436.173398338375</v>
      </c>
      <c r="M22" s="185">
        <v>111465.54219138502</v>
      </c>
      <c r="N22" s="185">
        <v>154933.04551965595</v>
      </c>
      <c r="O22" s="185">
        <v>204615.87426846917</v>
      </c>
      <c r="P22" s="185">
        <v>94.972276044783229</v>
      </c>
      <c r="Q22" s="185">
        <v>1406.549606580347</v>
      </c>
      <c r="R22" s="185">
        <v>1944.4728725899633</v>
      </c>
      <c r="S22" s="185">
        <v>1667.3700331579614</v>
      </c>
      <c r="T22" s="185">
        <v>1929.4364176062641</v>
      </c>
      <c r="U22" s="185">
        <v>2246.279119770013</v>
      </c>
      <c r="V22" s="23">
        <f t="shared" si="0"/>
        <v>74900.180566592942</v>
      </c>
      <c r="W22" s="23">
        <f t="shared" si="0"/>
        <v>40346.745075942388</v>
      </c>
      <c r="X22" s="23">
        <f t="shared" si="0"/>
        <v>48052.186644231748</v>
      </c>
      <c r="Y22" s="23">
        <f t="shared" si="0"/>
        <v>66851.112815234999</v>
      </c>
      <c r="Z22" s="23">
        <f t="shared" si="0"/>
        <v>80299.637814379021</v>
      </c>
      <c r="AA22" s="23">
        <f t="shared" si="0"/>
        <v>91091.028032802482</v>
      </c>
    </row>
    <row r="23" spans="1:27" s="31" customFormat="1" x14ac:dyDescent="0.25">
      <c r="A23" s="26" t="s">
        <v>34</v>
      </c>
      <c r="B23" s="128">
        <f t="shared" si="2"/>
        <v>22</v>
      </c>
      <c r="C23" s="223" t="s">
        <v>112</v>
      </c>
      <c r="D23" s="185">
        <v>51.632713269045098</v>
      </c>
      <c r="E23" s="185">
        <v>299.33501901849235</v>
      </c>
      <c r="F23" s="185">
        <v>924.23364178951772</v>
      </c>
      <c r="G23" s="185">
        <v>43445.692713011704</v>
      </c>
      <c r="H23" s="185">
        <v>132179.18818088822</v>
      </c>
      <c r="I23" s="185">
        <v>308764.83600611676</v>
      </c>
      <c r="J23" s="185">
        <v>8686.4095609571286</v>
      </c>
      <c r="K23" s="185">
        <v>35623.421045433817</v>
      </c>
      <c r="L23" s="185">
        <v>30474.13804608291</v>
      </c>
      <c r="M23" s="185">
        <v>84185.777965110799</v>
      </c>
      <c r="N23" s="185">
        <v>132179.18818088822</v>
      </c>
      <c r="O23" s="185">
        <v>215964.6538574202</v>
      </c>
      <c r="P23" s="185">
        <v>162.80961607677128</v>
      </c>
      <c r="Q23" s="185">
        <v>1942.3975371011584</v>
      </c>
      <c r="R23" s="185">
        <v>1991.0194445082504</v>
      </c>
      <c r="S23" s="185">
        <v>2492.304324785111</v>
      </c>
      <c r="T23" s="185">
        <v>2920.2954796358131</v>
      </c>
      <c r="U23" s="185">
        <v>3155.7080043319474</v>
      </c>
      <c r="V23" s="23">
        <f t="shared" si="0"/>
        <v>53353.172682755649</v>
      </c>
      <c r="W23" s="23">
        <f t="shared" si="0"/>
        <v>18339.922886536577</v>
      </c>
      <c r="X23" s="23">
        <f t="shared" si="0"/>
        <v>15305.796299548208</v>
      </c>
      <c r="Y23" s="23">
        <f t="shared" si="0"/>
        <v>33778.289885353137</v>
      </c>
      <c r="Z23" s="23">
        <f t="shared" si="0"/>
        <v>45262.265103862752</v>
      </c>
      <c r="AA23" s="23">
        <f t="shared" si="0"/>
        <v>68436.196746010144</v>
      </c>
    </row>
    <row r="24" spans="1:27" s="9" customFormat="1" x14ac:dyDescent="0.25">
      <c r="A24" s="32" t="s">
        <v>37</v>
      </c>
      <c r="B24" s="65">
        <v>23</v>
      </c>
      <c r="C24" s="225" t="s">
        <v>112</v>
      </c>
      <c r="D24" s="186">
        <v>3265.5802438863429</v>
      </c>
      <c r="E24" s="186">
        <v>23974.769556765335</v>
      </c>
      <c r="F24" s="186">
        <v>292013.27385847014</v>
      </c>
      <c r="G24" s="186">
        <v>4526610.4172132071</v>
      </c>
      <c r="H24" s="186">
        <v>14182274.598044844</v>
      </c>
      <c r="I24" s="186">
        <v>32599775.185557079</v>
      </c>
      <c r="J24" s="186">
        <v>1858652.6352614907</v>
      </c>
      <c r="K24" s="186">
        <v>6352515.476038307</v>
      </c>
      <c r="L24" s="186">
        <v>7774383.1620723987</v>
      </c>
      <c r="M24" s="186">
        <v>9120821.8311558571</v>
      </c>
      <c r="N24" s="186">
        <v>14182274.598044844</v>
      </c>
      <c r="O24" s="186">
        <v>18154189.421636306</v>
      </c>
      <c r="P24" s="186">
        <v>16639.765339499998</v>
      </c>
      <c r="Q24" s="186">
        <v>24517.246169744867</v>
      </c>
      <c r="R24" s="186">
        <v>30988.441605947515</v>
      </c>
      <c r="S24" s="186">
        <v>39651.211481118931</v>
      </c>
      <c r="T24" s="186">
        <v>45108.331618496995</v>
      </c>
      <c r="U24" s="186">
        <v>52072.674244928974</v>
      </c>
      <c r="V24" s="35">
        <f t="shared" si="0"/>
        <v>111699.44992249155</v>
      </c>
      <c r="W24" s="35">
        <f t="shared" si="0"/>
        <v>259103.95613180779</v>
      </c>
      <c r="X24" s="35">
        <f t="shared" si="0"/>
        <v>250880.0946150285</v>
      </c>
      <c r="Y24" s="35">
        <f t="shared" si="0"/>
        <v>230026.3091708812</v>
      </c>
      <c r="Z24" s="35">
        <f t="shared" si="0"/>
        <v>314404.7693448565</v>
      </c>
      <c r="AA24" s="35">
        <f t="shared" si="0"/>
        <v>348631.78595833736</v>
      </c>
    </row>
    <row r="25" spans="1:27" s="36" customFormat="1" x14ac:dyDescent="0.25">
      <c r="A25" s="36" t="s">
        <v>38</v>
      </c>
      <c r="B25" s="37"/>
      <c r="C25" s="38"/>
      <c r="D25" s="39">
        <f t="shared" ref="D25:U25" si="12">+D8+D9+D15</f>
        <v>3265.5802438863429</v>
      </c>
      <c r="E25" s="39">
        <f t="shared" si="12"/>
        <v>23974.769556765335</v>
      </c>
      <c r="F25" s="39">
        <f t="shared" si="12"/>
        <v>292013.27385847014</v>
      </c>
      <c r="G25" s="39">
        <f t="shared" si="12"/>
        <v>4526610.4172132062</v>
      </c>
      <c r="H25" s="39">
        <f t="shared" si="12"/>
        <v>14182274.598044842</v>
      </c>
      <c r="I25" s="39">
        <f t="shared" si="12"/>
        <v>32599775.185557086</v>
      </c>
      <c r="J25" s="39">
        <f t="shared" si="12"/>
        <v>1858652.6352614909</v>
      </c>
      <c r="K25" s="39">
        <f t="shared" si="12"/>
        <v>6352515.4760383079</v>
      </c>
      <c r="L25" s="39">
        <f t="shared" si="12"/>
        <v>7774383.1620723987</v>
      </c>
      <c r="M25" s="39">
        <f t="shared" si="12"/>
        <v>9120821.8311558552</v>
      </c>
      <c r="N25" s="39">
        <f t="shared" si="12"/>
        <v>14182274.598044842</v>
      </c>
      <c r="O25" s="39">
        <f t="shared" si="12"/>
        <v>18154189.421636306</v>
      </c>
      <c r="P25" s="39">
        <f t="shared" si="12"/>
        <v>16639.765339499998</v>
      </c>
      <c r="Q25" s="39">
        <f t="shared" si="12"/>
        <v>24517.246169744871</v>
      </c>
      <c r="R25" s="39">
        <f t="shared" si="12"/>
        <v>30988.441605947519</v>
      </c>
      <c r="S25" s="39">
        <f t="shared" si="12"/>
        <v>39651.211481118931</v>
      </c>
      <c r="T25" s="39">
        <f t="shared" si="12"/>
        <v>45108.331618497003</v>
      </c>
      <c r="U25" s="39">
        <f t="shared" si="12"/>
        <v>52072.674244928974</v>
      </c>
      <c r="V25" s="40"/>
      <c r="W25" s="40"/>
      <c r="X25" s="40"/>
      <c r="Y25" s="40"/>
      <c r="Z25" s="40"/>
      <c r="AA25" s="40"/>
    </row>
    <row r="26" spans="1:27" s="36" customFormat="1" x14ac:dyDescent="0.25">
      <c r="A26" s="89" t="s">
        <v>72</v>
      </c>
      <c r="B26" s="37"/>
      <c r="C26" s="38"/>
      <c r="D26" s="43" t="b">
        <f>EXACT(D25,D24)</f>
        <v>1</v>
      </c>
      <c r="E26" s="43" t="b">
        <f t="shared" ref="E26:U26" si="13">EXACT(E25,E24)</f>
        <v>1</v>
      </c>
      <c r="F26" s="43" t="b">
        <f t="shared" si="13"/>
        <v>1</v>
      </c>
      <c r="G26" s="43" t="b">
        <f t="shared" si="13"/>
        <v>1</v>
      </c>
      <c r="H26" s="43" t="b">
        <f t="shared" si="13"/>
        <v>1</v>
      </c>
      <c r="I26" s="43" t="b">
        <f t="shared" si="13"/>
        <v>1</v>
      </c>
      <c r="J26" s="43" t="b">
        <f t="shared" si="13"/>
        <v>1</v>
      </c>
      <c r="K26" s="43" t="b">
        <f t="shared" si="13"/>
        <v>1</v>
      </c>
      <c r="L26" s="43" t="b">
        <f t="shared" si="13"/>
        <v>1</v>
      </c>
      <c r="M26" s="43" t="b">
        <f t="shared" si="13"/>
        <v>1</v>
      </c>
      <c r="N26" s="43" t="b">
        <f t="shared" si="13"/>
        <v>1</v>
      </c>
      <c r="O26" s="43" t="b">
        <f t="shared" si="13"/>
        <v>1</v>
      </c>
      <c r="P26" s="43" t="b">
        <f t="shared" si="13"/>
        <v>1</v>
      </c>
      <c r="Q26" s="43" t="b">
        <f t="shared" si="13"/>
        <v>1</v>
      </c>
      <c r="R26" s="43" t="b">
        <f t="shared" si="13"/>
        <v>1</v>
      </c>
      <c r="S26" s="43" t="b">
        <f t="shared" si="13"/>
        <v>1</v>
      </c>
      <c r="T26" s="43" t="b">
        <f t="shared" si="13"/>
        <v>1</v>
      </c>
      <c r="U26" s="43" t="b">
        <f t="shared" si="13"/>
        <v>1</v>
      </c>
      <c r="V26" s="40"/>
      <c r="W26" s="40"/>
      <c r="X26" s="40"/>
      <c r="Y26" s="40"/>
      <c r="Z26" s="40"/>
      <c r="AA26" s="40"/>
    </row>
    <row r="27" spans="1:27" s="36" customFormat="1" x14ac:dyDescent="0.25">
      <c r="A27" s="89" t="s">
        <v>72</v>
      </c>
      <c r="B27" s="37"/>
      <c r="C27" s="38"/>
      <c r="D27" s="43"/>
      <c r="E27" s="43"/>
      <c r="F27" s="43"/>
      <c r="G27" s="43"/>
      <c r="H27" s="43"/>
      <c r="I27" s="43"/>
      <c r="J27" s="43"/>
      <c r="K27" s="43"/>
      <c r="L27" s="43"/>
      <c r="M27" s="43"/>
      <c r="N27" s="43"/>
      <c r="O27" s="43"/>
      <c r="P27" s="43"/>
      <c r="Q27" s="43"/>
      <c r="R27" s="43"/>
      <c r="S27" s="43"/>
      <c r="T27" s="43"/>
      <c r="U27" s="43"/>
      <c r="V27" s="40"/>
      <c r="W27" s="40"/>
      <c r="X27" s="40"/>
      <c r="Y27" s="40"/>
      <c r="Z27" s="40"/>
      <c r="AA27" s="40"/>
    </row>
    <row r="28" spans="1:27" s="36" customFormat="1" ht="35.4" customHeight="1" x14ac:dyDescent="0.25">
      <c r="A28" s="7" t="s">
        <v>73</v>
      </c>
      <c r="B28" s="65" t="s">
        <v>41</v>
      </c>
      <c r="C28" s="166" t="s">
        <v>16</v>
      </c>
      <c r="D28" s="323" t="s">
        <v>74</v>
      </c>
      <c r="E28" s="324"/>
      <c r="F28" s="324"/>
      <c r="G28" s="324"/>
      <c r="H28" s="324"/>
      <c r="I28" s="325"/>
      <c r="J28" s="329" t="s">
        <v>75</v>
      </c>
      <c r="K28" s="330"/>
      <c r="L28" s="330"/>
      <c r="M28" s="330"/>
      <c r="N28" s="330"/>
      <c r="O28" s="331"/>
      <c r="P28" s="332" t="s">
        <v>242</v>
      </c>
      <c r="Q28" s="333"/>
      <c r="R28" s="333"/>
      <c r="S28" s="333"/>
      <c r="T28" s="333"/>
      <c r="U28" s="334"/>
      <c r="V28" s="40"/>
      <c r="W28" s="40"/>
      <c r="X28" s="40"/>
      <c r="Y28" s="40"/>
      <c r="Z28" s="40"/>
      <c r="AA28" s="40"/>
    </row>
    <row r="29" spans="1:27" s="36" customFormat="1" x14ac:dyDescent="0.25">
      <c r="A29" s="85" t="s">
        <v>70</v>
      </c>
      <c r="B29" s="65"/>
      <c r="C29" s="166" t="s">
        <v>16</v>
      </c>
      <c r="D29" s="73" t="s">
        <v>62</v>
      </c>
      <c r="E29" s="73" t="s">
        <v>7</v>
      </c>
      <c r="F29" s="73" t="s">
        <v>8</v>
      </c>
      <c r="G29" s="172">
        <v>2000</v>
      </c>
      <c r="H29" s="172">
        <v>2005</v>
      </c>
      <c r="I29" s="73" t="s">
        <v>9</v>
      </c>
      <c r="J29" s="174" t="s">
        <v>62</v>
      </c>
      <c r="K29" s="174" t="s">
        <v>7</v>
      </c>
      <c r="L29" s="174" t="s">
        <v>8</v>
      </c>
      <c r="M29" s="175">
        <v>2000</v>
      </c>
      <c r="N29" s="175">
        <v>2005</v>
      </c>
      <c r="O29" s="174" t="s">
        <v>9</v>
      </c>
      <c r="P29" s="178" t="s">
        <v>62</v>
      </c>
      <c r="Q29" s="178" t="s">
        <v>7</v>
      </c>
      <c r="R29" s="178" t="s">
        <v>8</v>
      </c>
      <c r="S29" s="179">
        <v>2000</v>
      </c>
      <c r="T29" s="179">
        <v>2005</v>
      </c>
      <c r="U29" s="178" t="s">
        <v>9</v>
      </c>
      <c r="V29" s="40"/>
      <c r="W29" s="40"/>
      <c r="X29" s="40"/>
      <c r="Y29" s="40"/>
      <c r="Z29" s="40"/>
      <c r="AA29" s="40"/>
    </row>
    <row r="30" spans="1:27" s="36" customFormat="1" x14ac:dyDescent="0.25">
      <c r="A30" s="157" t="s">
        <v>14</v>
      </c>
      <c r="B30" s="65">
        <v>7</v>
      </c>
      <c r="C30" s="166" t="s">
        <v>16</v>
      </c>
      <c r="D30" s="122">
        <f t="shared" ref="D30:I43" si="14">(D8/D$24)*100</f>
        <v>58.272066169283157</v>
      </c>
      <c r="E30" s="122">
        <f t="shared" si="14"/>
        <v>30.546730728638501</v>
      </c>
      <c r="F30" s="122">
        <f t="shared" si="14"/>
        <v>29.488020673922026</v>
      </c>
      <c r="G30" s="122">
        <f t="shared" si="14"/>
        <v>27.54661122068585</v>
      </c>
      <c r="H30" s="122">
        <f t="shared" si="14"/>
        <v>35.180123600056881</v>
      </c>
      <c r="I30" s="122">
        <f t="shared" si="14"/>
        <v>31.627996137602636</v>
      </c>
      <c r="J30" s="122">
        <f t="shared" ref="J30:O33" si="15">(+P8/P$24)*100</f>
        <v>78.177184628797534</v>
      </c>
      <c r="K30" s="122">
        <f t="shared" si="15"/>
        <v>59.985290803884673</v>
      </c>
      <c r="L30" s="122">
        <f t="shared" si="15"/>
        <v>50.038926942094186</v>
      </c>
      <c r="M30" s="122">
        <f t="shared" si="15"/>
        <v>63.686141806469209</v>
      </c>
      <c r="N30" s="122">
        <f t="shared" si="15"/>
        <v>62.409686811379231</v>
      </c>
      <c r="O30" s="122">
        <f t="shared" si="15"/>
        <v>60.65978783986079</v>
      </c>
      <c r="P30" s="122">
        <f>+V8/V$24</f>
        <v>0.92012543954230475</v>
      </c>
      <c r="Q30" s="122">
        <f t="shared" ref="P30:U45" si="16">+W8/W$24</f>
        <v>0.38894543532189196</v>
      </c>
      <c r="R30" s="122">
        <f t="shared" si="16"/>
        <v>0.46315652343787667</v>
      </c>
      <c r="S30" s="122">
        <f t="shared" si="16"/>
        <v>0.43768471457958169</v>
      </c>
      <c r="T30" s="122">
        <f t="shared" si="16"/>
        <v>0.56369652529072545</v>
      </c>
      <c r="U30" s="122">
        <f>+AA8/AA$24</f>
        <v>0.62105167328679434</v>
      </c>
      <c r="V30" s="40"/>
      <c r="W30" s="40"/>
      <c r="X30" s="40"/>
      <c r="Y30" s="40"/>
      <c r="Z30" s="40"/>
      <c r="AA30" s="40"/>
    </row>
    <row r="31" spans="1:27" s="36" customFormat="1" x14ac:dyDescent="0.25">
      <c r="A31" s="158" t="s">
        <v>17</v>
      </c>
      <c r="B31" s="65">
        <v>8</v>
      </c>
      <c r="C31" s="166" t="s">
        <v>16</v>
      </c>
      <c r="D31" s="122">
        <f t="shared" si="14"/>
        <v>18.102258812910247</v>
      </c>
      <c r="E31" s="122">
        <f t="shared" si="14"/>
        <v>47.236235554460301</v>
      </c>
      <c r="F31" s="122">
        <f t="shared" si="14"/>
        <v>53.575123128894617</v>
      </c>
      <c r="G31" s="122">
        <f t="shared" si="14"/>
        <v>55.321036116032985</v>
      </c>
      <c r="H31" s="122">
        <f t="shared" si="14"/>
        <v>46.546683150681687</v>
      </c>
      <c r="I31" s="122">
        <f t="shared" si="14"/>
        <v>48.035671738046879</v>
      </c>
      <c r="J31" s="122">
        <f t="shared" si="15"/>
        <v>5.301996144868153</v>
      </c>
      <c r="K31" s="122">
        <f t="shared" si="15"/>
        <v>8.5923253471792229</v>
      </c>
      <c r="L31" s="122">
        <f t="shared" si="15"/>
        <v>6.366668292939627</v>
      </c>
      <c r="M31" s="122">
        <f t="shared" si="15"/>
        <v>4.1513934976696945</v>
      </c>
      <c r="N31" s="122">
        <f t="shared" si="15"/>
        <v>5.0241497961575723</v>
      </c>
      <c r="O31" s="122">
        <f t="shared" si="15"/>
        <v>6.2471218300742768</v>
      </c>
      <c r="P31" s="122">
        <f t="shared" si="16"/>
        <v>2.0075146881855961</v>
      </c>
      <c r="Q31" s="122">
        <f t="shared" si="16"/>
        <v>7.5256585205696283</v>
      </c>
      <c r="R31" s="122">
        <f t="shared" si="16"/>
        <v>9.6135614083045322</v>
      </c>
      <c r="S31" s="122">
        <f t="shared" si="16"/>
        <v>13.460027079423057</v>
      </c>
      <c r="T31" s="122">
        <f t="shared" si="16"/>
        <v>9.2645890427630562</v>
      </c>
      <c r="U31" s="122">
        <f t="shared" si="16"/>
        <v>5.6974879597847314</v>
      </c>
      <c r="V31" s="40"/>
      <c r="W31" s="40"/>
      <c r="X31" s="40"/>
      <c r="Y31" s="40"/>
      <c r="Z31" s="40"/>
      <c r="AA31" s="40"/>
    </row>
    <row r="32" spans="1:27" s="36" customFormat="1" x14ac:dyDescent="0.25">
      <c r="A32" s="159" t="s">
        <v>19</v>
      </c>
      <c r="B32" s="65">
        <v>9</v>
      </c>
      <c r="C32" s="166" t="s">
        <v>16</v>
      </c>
      <c r="D32" s="122">
        <f t="shared" si="14"/>
        <v>0.77525176550825747</v>
      </c>
      <c r="E32" s="122">
        <f t="shared" si="14"/>
        <v>18.401916186236754</v>
      </c>
      <c r="F32" s="122">
        <f t="shared" si="14"/>
        <v>36.201574976733795</v>
      </c>
      <c r="G32" s="122">
        <f t="shared" si="14"/>
        <v>50.587286391557775</v>
      </c>
      <c r="H32" s="122">
        <f t="shared" si="14"/>
        <v>41.868338278171066</v>
      </c>
      <c r="I32" s="122">
        <f t="shared" si="14"/>
        <v>44.636783002151915</v>
      </c>
      <c r="J32" s="122">
        <f t="shared" si="15"/>
        <v>0.25268204248433179</v>
      </c>
      <c r="K32" s="122">
        <f t="shared" si="15"/>
        <v>0.16008688943843741</v>
      </c>
      <c r="L32" s="122">
        <f t="shared" si="15"/>
        <v>0.39029119005384832</v>
      </c>
      <c r="M32" s="122">
        <f t="shared" si="15"/>
        <v>7.1228238723615708E-2</v>
      </c>
      <c r="N32" s="122">
        <f t="shared" si="15"/>
        <v>0.15318674393096737</v>
      </c>
      <c r="O32" s="122">
        <f t="shared" si="15"/>
        <v>0.23191122897540944</v>
      </c>
      <c r="P32" s="122">
        <f t="shared" si="16"/>
        <v>27.785530738411055</v>
      </c>
      <c r="Q32" s="122">
        <f t="shared" si="16"/>
        <v>377.72662133379714</v>
      </c>
      <c r="R32" s="122">
        <f t="shared" si="16"/>
        <v>143.19855328570642</v>
      </c>
      <c r="S32" s="122">
        <f t="shared" si="16"/>
        <v>714.70715184529945</v>
      </c>
      <c r="T32" s="122">
        <f t="shared" si="16"/>
        <v>273.31567473644299</v>
      </c>
      <c r="U32" s="122">
        <f t="shared" si="16"/>
        <v>128.24570883360136</v>
      </c>
      <c r="V32" s="40"/>
      <c r="W32" s="40"/>
      <c r="X32" s="40"/>
      <c r="Y32" s="40"/>
      <c r="Z32" s="40"/>
      <c r="AA32" s="40"/>
    </row>
    <row r="33" spans="1:27" s="36" customFormat="1" x14ac:dyDescent="0.25">
      <c r="A33" s="160" t="s">
        <v>20</v>
      </c>
      <c r="B33" s="65">
        <v>10</v>
      </c>
      <c r="C33" s="166" t="s">
        <v>16</v>
      </c>
      <c r="D33" s="122">
        <f t="shared" si="14"/>
        <v>10.918131660322771</v>
      </c>
      <c r="E33" s="122">
        <f t="shared" si="14"/>
        <v>21.482127035731054</v>
      </c>
      <c r="F33" s="122">
        <f t="shared" si="14"/>
        <v>13.612292675360212</v>
      </c>
      <c r="G33" s="122">
        <f t="shared" si="14"/>
        <v>3.8226244018974938</v>
      </c>
      <c r="H33" s="122">
        <f t="shared" si="14"/>
        <v>2.996579279064151</v>
      </c>
      <c r="I33" s="122">
        <f t="shared" si="14"/>
        <v>1.9726216383299209</v>
      </c>
      <c r="J33" s="122">
        <f t="shared" si="15"/>
        <v>3.4068808262356649</v>
      </c>
      <c r="K33" s="122">
        <f t="shared" si="15"/>
        <v>6.7148426181390874</v>
      </c>
      <c r="L33" s="122">
        <f t="shared" si="15"/>
        <v>4.4411961581310067</v>
      </c>
      <c r="M33" s="122">
        <f t="shared" si="15"/>
        <v>3.1039260580113894</v>
      </c>
      <c r="N33" s="122">
        <f t="shared" si="15"/>
        <v>3.6431445944291352</v>
      </c>
      <c r="O33" s="122">
        <f t="shared" si="15"/>
        <v>4.1806633959749302</v>
      </c>
      <c r="P33" s="122">
        <f t="shared" si="16"/>
        <v>0.42483476685489907</v>
      </c>
      <c r="Q33" s="122">
        <f t="shared" si="16"/>
        <v>0.3123955135128938</v>
      </c>
      <c r="R33" s="122">
        <f t="shared" si="16"/>
        <v>0.84904614550737711</v>
      </c>
      <c r="S33" s="122">
        <f t="shared" si="16"/>
        <v>0.98354124285678746</v>
      </c>
      <c r="T33" s="122">
        <f t="shared" si="16"/>
        <v>0.82252548626434663</v>
      </c>
      <c r="U33" s="122">
        <f t="shared" si="16"/>
        <v>0.84789077525488654</v>
      </c>
      <c r="V33" s="40"/>
      <c r="W33" s="40"/>
      <c r="X33" s="40"/>
      <c r="Y33" s="40"/>
      <c r="Z33" s="40"/>
      <c r="AA33" s="40"/>
    </row>
    <row r="34" spans="1:27" s="36" customFormat="1" x14ac:dyDescent="0.25">
      <c r="A34" s="160" t="s">
        <v>21</v>
      </c>
      <c r="B34" s="65">
        <v>11</v>
      </c>
      <c r="C34" s="166"/>
      <c r="D34" s="122">
        <f t="shared" si="14"/>
        <v>1.954496135017781</v>
      </c>
      <c r="E34" s="122">
        <f t="shared" si="14"/>
        <v>2.0523462880180157</v>
      </c>
      <c r="F34" s="122">
        <f t="shared" si="14"/>
        <v>2.2581287614980528</v>
      </c>
      <c r="G34" s="122">
        <f t="shared" si="14"/>
        <v>0.23084733849728281</v>
      </c>
      <c r="H34" s="122">
        <f t="shared" si="14"/>
        <v>0.15081866750826059</v>
      </c>
      <c r="I34" s="122">
        <f t="shared" si="14"/>
        <v>0.21562639084839025</v>
      </c>
      <c r="J34" s="122">
        <f t="shared" ref="J34:O34" si="17">(+P12/P$24)*100</f>
        <v>0.1263410212421659</v>
      </c>
      <c r="K34" s="122">
        <f t="shared" si="17"/>
        <v>0.38931953393239255</v>
      </c>
      <c r="L34" s="122">
        <f t="shared" si="17"/>
        <v>0.45034949182701633</v>
      </c>
      <c r="M34" s="122">
        <f t="shared" si="17"/>
        <v>0.27428268617331775</v>
      </c>
      <c r="N34" s="122">
        <f t="shared" si="17"/>
        <v>0.31020998933257354</v>
      </c>
      <c r="O34" s="122">
        <f t="shared" si="17"/>
        <v>0.22468019565582628</v>
      </c>
      <c r="P34" s="122">
        <f t="shared" si="16"/>
        <v>0.36353749236166594</v>
      </c>
      <c r="Q34" s="122">
        <f t="shared" si="16"/>
        <v>0.19137639415707161</v>
      </c>
      <c r="R34" s="122">
        <f t="shared" si="16"/>
        <v>0.27618744079445162</v>
      </c>
      <c r="S34" s="122">
        <f t="shared" si="16"/>
        <v>0.4565227642268041</v>
      </c>
      <c r="T34" s="122">
        <f t="shared" si="16"/>
        <v>0.48618249796775281</v>
      </c>
      <c r="U34" s="122">
        <f t="shared" si="16"/>
        <v>0.63821934236570388</v>
      </c>
      <c r="V34" s="40"/>
      <c r="W34" s="40"/>
      <c r="X34" s="40"/>
      <c r="Y34" s="40"/>
      <c r="Z34" s="40"/>
      <c r="AA34" s="40"/>
    </row>
    <row r="35" spans="1:27" s="36" customFormat="1" x14ac:dyDescent="0.25">
      <c r="A35" s="160" t="s">
        <v>22</v>
      </c>
      <c r="B35" s="65">
        <v>12</v>
      </c>
      <c r="C35" s="166"/>
      <c r="D35" s="122">
        <f t="shared" si="14"/>
        <v>4.454379252061436</v>
      </c>
      <c r="E35" s="122">
        <f t="shared" si="14"/>
        <v>5.2998460444744735</v>
      </c>
      <c r="F35" s="122">
        <f t="shared" si="14"/>
        <v>1.5031267153025631</v>
      </c>
      <c r="G35" s="122">
        <f t="shared" si="14"/>
        <v>0.68027798408043672</v>
      </c>
      <c r="H35" s="122">
        <f t="shared" si="14"/>
        <v>1.5309469259382189</v>
      </c>
      <c r="I35" s="122">
        <f t="shared" si="14"/>
        <v>1.2106407067166538</v>
      </c>
      <c r="J35" s="122">
        <f t="shared" ref="J35:O35" si="18">(+P13/P$24)*100</f>
        <v>1.5160922549059908</v>
      </c>
      <c r="K35" s="122">
        <f t="shared" si="18"/>
        <v>1.3280763056693052</v>
      </c>
      <c r="L35" s="122">
        <f t="shared" si="18"/>
        <v>1.0848314529277556</v>
      </c>
      <c r="M35" s="122">
        <f t="shared" si="18"/>
        <v>0.70195651476137177</v>
      </c>
      <c r="N35" s="122">
        <f t="shared" si="18"/>
        <v>0.91760846846489585</v>
      </c>
      <c r="O35" s="122">
        <f t="shared" si="18"/>
        <v>1.6098670094681107</v>
      </c>
      <c r="P35" s="122">
        <f t="shared" si="16"/>
        <v>1.4046898218633426</v>
      </c>
      <c r="Q35" s="122">
        <f t="shared" si="16"/>
        <v>1.5222267787076056</v>
      </c>
      <c r="R35" s="122">
        <f t="shared" si="16"/>
        <v>1.3108593668267547</v>
      </c>
      <c r="S35" s="122">
        <f t="shared" si="16"/>
        <v>2.5535508913515761</v>
      </c>
      <c r="T35" s="122">
        <f t="shared" si="16"/>
        <v>1.6684097614088083</v>
      </c>
      <c r="U35" s="122">
        <f t="shared" si="16"/>
        <v>1.3436763884249339</v>
      </c>
      <c r="V35" s="40"/>
      <c r="W35" s="40"/>
      <c r="X35" s="40"/>
      <c r="Y35" s="40"/>
      <c r="Z35" s="40"/>
      <c r="AA35" s="40"/>
    </row>
    <row r="36" spans="1:27" s="36" customFormat="1" x14ac:dyDescent="0.25">
      <c r="A36" s="161" t="s">
        <v>61</v>
      </c>
      <c r="B36" s="65">
        <v>13</v>
      </c>
      <c r="C36" s="166" t="s">
        <v>16</v>
      </c>
      <c r="D36" s="122">
        <f t="shared" si="14"/>
        <v>6.4088753870792159</v>
      </c>
      <c r="E36" s="122">
        <f t="shared" si="14"/>
        <v>7.3521923324924883</v>
      </c>
      <c r="F36" s="122">
        <f t="shared" si="14"/>
        <v>3.7612554768006157</v>
      </c>
      <c r="G36" s="122">
        <f t="shared" si="14"/>
        <v>0.9111253225777195</v>
      </c>
      <c r="H36" s="122">
        <f t="shared" si="14"/>
        <v>1.6817655934464795</v>
      </c>
      <c r="I36" s="122">
        <f t="shared" si="14"/>
        <v>1.4262670975650438</v>
      </c>
      <c r="J36" s="122">
        <f t="shared" ref="J36:O36" si="19">(+P14/P$24)*100</f>
        <v>1.6424332761481566</v>
      </c>
      <c r="K36" s="122">
        <f t="shared" si="19"/>
        <v>1.7173958396016975</v>
      </c>
      <c r="L36" s="122">
        <f t="shared" si="19"/>
        <v>1.535180944754772</v>
      </c>
      <c r="M36" s="122">
        <f t="shared" si="19"/>
        <v>0.97623920093468952</v>
      </c>
      <c r="N36" s="122">
        <f t="shared" si="19"/>
        <v>1.2278184577974693</v>
      </c>
      <c r="O36" s="122">
        <f t="shared" si="19"/>
        <v>1.8345472051239369</v>
      </c>
      <c r="P36" s="122">
        <f t="shared" si="16"/>
        <v>1.3246011811324443</v>
      </c>
      <c r="Q36" s="122">
        <f t="shared" si="16"/>
        <v>1.2205339252026592</v>
      </c>
      <c r="R36" s="122">
        <f t="shared" si="16"/>
        <v>1.0073355524592176</v>
      </c>
      <c r="S36" s="122">
        <f t="shared" si="16"/>
        <v>1.9643730472964649</v>
      </c>
      <c r="T36" s="122">
        <f t="shared" si="16"/>
        <v>1.3697184488196459</v>
      </c>
      <c r="U36" s="122">
        <f t="shared" si="16"/>
        <v>1.2572778336792896</v>
      </c>
      <c r="V36" s="40"/>
      <c r="W36" s="40"/>
      <c r="X36" s="40"/>
      <c r="Y36" s="40"/>
      <c r="Z36" s="40"/>
      <c r="AA36" s="40"/>
    </row>
    <row r="37" spans="1:27" s="36" customFormat="1" x14ac:dyDescent="0.25">
      <c r="A37" s="162" t="s">
        <v>23</v>
      </c>
      <c r="B37" s="65">
        <v>14</v>
      </c>
      <c r="C37" s="166" t="s">
        <v>16</v>
      </c>
      <c r="D37" s="122">
        <f t="shared" si="14"/>
        <v>23.625675017806604</v>
      </c>
      <c r="E37" s="122">
        <f t="shared" si="14"/>
        <v>22.217033716901195</v>
      </c>
      <c r="F37" s="122">
        <f t="shared" si="14"/>
        <v>16.936856197183356</v>
      </c>
      <c r="G37" s="122">
        <f t="shared" si="14"/>
        <v>17.132352663281136</v>
      </c>
      <c r="H37" s="122">
        <f t="shared" si="14"/>
        <v>18.273193249261407</v>
      </c>
      <c r="I37" s="122">
        <f t="shared" si="14"/>
        <v>20.336332124350502</v>
      </c>
      <c r="J37" s="122">
        <f t="shared" ref="J37:O37" si="20">(+P15/P$24)*100</f>
        <v>16.520819226334314</v>
      </c>
      <c r="K37" s="122">
        <f t="shared" si="20"/>
        <v>31.422383848936132</v>
      </c>
      <c r="L37" s="122">
        <f t="shared" si="20"/>
        <v>43.5944047649662</v>
      </c>
      <c r="M37" s="122">
        <f t="shared" si="20"/>
        <v>32.162464695861097</v>
      </c>
      <c r="N37" s="122">
        <f t="shared" si="20"/>
        <v>32.566163392463217</v>
      </c>
      <c r="O37" s="122">
        <f t="shared" si="20"/>
        <v>33.093090330064932</v>
      </c>
      <c r="P37" s="122">
        <f t="shared" si="16"/>
        <v>1.0546298131480429</v>
      </c>
      <c r="Q37" s="122">
        <f t="shared" si="16"/>
        <v>0.38208713102693509</v>
      </c>
      <c r="R37" s="122">
        <f t="shared" si="16"/>
        <v>0.3582521207631717</v>
      </c>
      <c r="S37" s="122">
        <f t="shared" si="16"/>
        <v>0.50517522392731073</v>
      </c>
      <c r="T37" s="122">
        <f t="shared" si="16"/>
        <v>0.56110979451421572</v>
      </c>
      <c r="U37" s="122">
        <f t="shared" si="16"/>
        <v>0.80784948108602717</v>
      </c>
      <c r="V37" s="40"/>
      <c r="W37" s="40"/>
      <c r="X37" s="40"/>
      <c r="Y37" s="40"/>
      <c r="Z37" s="40"/>
      <c r="AA37" s="40"/>
    </row>
    <row r="38" spans="1:27" s="36" customFormat="1" x14ac:dyDescent="0.25">
      <c r="A38" s="159" t="s">
        <v>24</v>
      </c>
      <c r="B38" s="65">
        <v>15</v>
      </c>
      <c r="C38" s="166" t="s">
        <v>16</v>
      </c>
      <c r="D38" s="122">
        <f t="shared" si="14"/>
        <v>19.986770794563018</v>
      </c>
      <c r="E38" s="122">
        <f t="shared" si="14"/>
        <v>17.956066202061685</v>
      </c>
      <c r="F38" s="122">
        <f t="shared" si="14"/>
        <v>15.474628555221702</v>
      </c>
      <c r="G38" s="122">
        <f t="shared" si="14"/>
        <v>14.335940326284117</v>
      </c>
      <c r="H38" s="122">
        <f t="shared" si="14"/>
        <v>16.248749062148253</v>
      </c>
      <c r="I38" s="122">
        <f t="shared" si="14"/>
        <v>18.491183003996959</v>
      </c>
      <c r="J38" s="122">
        <f t="shared" ref="J38:O38" si="21">(+P16/P$24)*100</f>
        <v>14.971627354561798</v>
      </c>
      <c r="K38" s="122">
        <f t="shared" si="21"/>
        <v>17.762827141404177</v>
      </c>
      <c r="L38" s="122">
        <f t="shared" si="21"/>
        <v>30.894533092997744</v>
      </c>
      <c r="M38" s="122">
        <f t="shared" si="21"/>
        <v>21.671803244258736</v>
      </c>
      <c r="N38" s="122">
        <f t="shared" si="21"/>
        <v>21.814863747292097</v>
      </c>
      <c r="O38" s="122">
        <f t="shared" si="21"/>
        <v>22.719151978650181</v>
      </c>
      <c r="P38" s="122">
        <f t="shared" si="16"/>
        <v>1.1069790883921033</v>
      </c>
      <c r="Q38" s="122">
        <f t="shared" si="16"/>
        <v>0.59404787581830987</v>
      </c>
      <c r="R38" s="122">
        <f t="shared" si="16"/>
        <v>0.4539301408203239</v>
      </c>
      <c r="S38" s="122">
        <f t="shared" si="16"/>
        <v>0.65073376150658191</v>
      </c>
      <c r="T38" s="122">
        <f t="shared" si="16"/>
        <v>0.74484760713507692</v>
      </c>
      <c r="U38" s="122">
        <f t="shared" si="16"/>
        <v>1.0747550143367475</v>
      </c>
      <c r="V38" s="40"/>
      <c r="W38" s="40"/>
      <c r="X38" s="40"/>
      <c r="Y38" s="40"/>
      <c r="Z38" s="40"/>
      <c r="AA38" s="40"/>
    </row>
    <row r="39" spans="1:27" s="36" customFormat="1" x14ac:dyDescent="0.25">
      <c r="A39" s="163" t="s">
        <v>25</v>
      </c>
      <c r="B39" s="65">
        <v>16</v>
      </c>
      <c r="C39" s="166"/>
      <c r="D39" s="122">
        <f t="shared" si="14"/>
        <v>15.519912327684276</v>
      </c>
      <c r="E39" s="122">
        <f t="shared" si="14"/>
        <v>13.190502619651074</v>
      </c>
      <c r="F39" s="122">
        <f t="shared" si="14"/>
        <v>12.568186866327352</v>
      </c>
      <c r="G39" s="122">
        <f t="shared" si="14"/>
        <v>12.030795832311892</v>
      </c>
      <c r="H39" s="122">
        <f t="shared" si="14"/>
        <v>13.767184103009713</v>
      </c>
      <c r="I39" s="122">
        <f t="shared" si="14"/>
        <v>14.259905018592486</v>
      </c>
      <c r="J39" s="122">
        <f t="shared" ref="J39:O39" si="22">(+P17/P$24)*100</f>
        <v>12.950171014687143</v>
      </c>
      <c r="K39" s="122">
        <f t="shared" si="22"/>
        <v>15.588027911623373</v>
      </c>
      <c r="L39" s="122">
        <f t="shared" si="22"/>
        <v>26.921213568902679</v>
      </c>
      <c r="M39" s="122">
        <f t="shared" si="22"/>
        <v>18.882021732060831</v>
      </c>
      <c r="N39" s="122">
        <f t="shared" si="22"/>
        <v>17.697503685195944</v>
      </c>
      <c r="O39" s="122">
        <f t="shared" si="22"/>
        <v>16.918834521911464</v>
      </c>
      <c r="P39" s="122">
        <f t="shared" si="16"/>
        <v>1.1754532137564422</v>
      </c>
      <c r="Q39" s="122">
        <f t="shared" si="16"/>
        <v>0.57996120214179725</v>
      </c>
      <c r="R39" s="122">
        <f t="shared" si="16"/>
        <v>0.42735803707713726</v>
      </c>
      <c r="S39" s="122">
        <f t="shared" si="16"/>
        <v>0.62576111616356134</v>
      </c>
      <c r="T39" s="122">
        <f t="shared" si="16"/>
        <v>0.77791672474836315</v>
      </c>
      <c r="U39" s="122">
        <f t="shared" si="16"/>
        <v>1.1917268546152944</v>
      </c>
      <c r="V39" s="40"/>
      <c r="W39" s="40"/>
      <c r="X39" s="40"/>
      <c r="Y39" s="40"/>
      <c r="Z39" s="40"/>
      <c r="AA39" s="40"/>
    </row>
    <row r="40" spans="1:27" s="36" customFormat="1" x14ac:dyDescent="0.25">
      <c r="A40" s="163" t="s">
        <v>26</v>
      </c>
      <c r="B40" s="65">
        <v>17</v>
      </c>
      <c r="C40" s="166"/>
      <c r="D40" s="122">
        <f t="shared" si="14"/>
        <v>2.9830837634543421</v>
      </c>
      <c r="E40" s="122">
        <f t="shared" si="14"/>
        <v>1.8398583543762448</v>
      </c>
      <c r="F40" s="122">
        <f t="shared" si="14"/>
        <v>0.97724957800055678</v>
      </c>
      <c r="G40" s="122">
        <f t="shared" si="14"/>
        <v>1.2598005647440105</v>
      </c>
      <c r="H40" s="122">
        <f t="shared" si="14"/>
        <v>1.3125445888158709</v>
      </c>
      <c r="I40" s="122">
        <f t="shared" si="14"/>
        <v>2.4280638146617699</v>
      </c>
      <c r="J40" s="122">
        <f t="shared" ref="J40:O40" si="23">(+P18/P$24)*100</f>
        <v>1.7687742973903222</v>
      </c>
      <c r="K40" s="122">
        <f t="shared" si="23"/>
        <v>1.7671916757211847</v>
      </c>
      <c r="L40" s="122">
        <f t="shared" si="23"/>
        <v>3.1721335844952412</v>
      </c>
      <c r="M40" s="122">
        <f t="shared" si="23"/>
        <v>2.1602826380325562</v>
      </c>
      <c r="N40" s="122">
        <f t="shared" si="23"/>
        <v>2.8202252580006255</v>
      </c>
      <c r="O40" s="122">
        <f t="shared" si="23"/>
        <v>3.0461244045014761</v>
      </c>
      <c r="P40" s="122">
        <f t="shared" si="16"/>
        <v>0.5913443367196517</v>
      </c>
      <c r="Q40" s="122">
        <f t="shared" si="16"/>
        <v>0.3739427273341584</v>
      </c>
      <c r="R40" s="122">
        <f t="shared" si="16"/>
        <v>0.18682025310081091</v>
      </c>
      <c r="S40" s="122">
        <f t="shared" si="16"/>
        <v>0.32823822277377968</v>
      </c>
      <c r="T40" s="122">
        <f t="shared" si="16"/>
        <v>0.46540416766084425</v>
      </c>
      <c r="U40" s="122">
        <f t="shared" si="16"/>
        <v>0.66335814048441866</v>
      </c>
      <c r="V40" s="40"/>
      <c r="W40" s="40"/>
      <c r="X40" s="40"/>
      <c r="Y40" s="40"/>
      <c r="Z40" s="40"/>
      <c r="AA40" s="40"/>
    </row>
    <row r="41" spans="1:27" s="36" customFormat="1" x14ac:dyDescent="0.25">
      <c r="A41" s="160" t="s">
        <v>27</v>
      </c>
      <c r="B41" s="65">
        <v>18</v>
      </c>
      <c r="C41" s="166" t="s">
        <v>16</v>
      </c>
      <c r="D41" s="122">
        <f t="shared" si="14"/>
        <v>18.502996091138616</v>
      </c>
      <c r="E41" s="122">
        <f t="shared" si="14"/>
        <v>15.030360974027317</v>
      </c>
      <c r="F41" s="122">
        <f t="shared" si="14"/>
        <v>13.54543644432791</v>
      </c>
      <c r="G41" s="122">
        <f t="shared" si="14"/>
        <v>13.290596397055904</v>
      </c>
      <c r="H41" s="122">
        <f t="shared" si="14"/>
        <v>15.079728691825583</v>
      </c>
      <c r="I41" s="122">
        <f t="shared" si="14"/>
        <v>16.687968833254256</v>
      </c>
      <c r="J41" s="122">
        <f t="shared" ref="J41:O41" si="24">(+P19/P$24)*100</f>
        <v>14.718945312077466</v>
      </c>
      <c r="K41" s="122">
        <f t="shared" si="24"/>
        <v>17.355219587344557</v>
      </c>
      <c r="L41" s="122">
        <f t="shared" si="24"/>
        <v>30.093347153397922</v>
      </c>
      <c r="M41" s="122">
        <f t="shared" si="24"/>
        <v>21.042304370093387</v>
      </c>
      <c r="N41" s="122">
        <f t="shared" si="24"/>
        <v>20.517728943196563</v>
      </c>
      <c r="O41" s="122">
        <f t="shared" si="24"/>
        <v>19.96495892641294</v>
      </c>
      <c r="P41" s="122">
        <f t="shared" si="16"/>
        <v>1.1052609040036194</v>
      </c>
      <c r="Q41" s="122">
        <f t="shared" si="16"/>
        <v>0.5589834131894571</v>
      </c>
      <c r="R41" s="122">
        <f t="shared" si="16"/>
        <v>0.40200299833711417</v>
      </c>
      <c r="S41" s="122">
        <f t="shared" si="16"/>
        <v>0.59521628943248095</v>
      </c>
      <c r="T41" s="122">
        <f t="shared" si="16"/>
        <v>0.73496090788478041</v>
      </c>
      <c r="U41" s="122">
        <f t="shared" si="16"/>
        <v>1.1111117709268503</v>
      </c>
      <c r="V41" s="40"/>
      <c r="W41" s="40"/>
      <c r="X41" s="40"/>
      <c r="Y41" s="40"/>
      <c r="Z41" s="40"/>
      <c r="AA41" s="40"/>
    </row>
    <row r="42" spans="1:27" s="36" customFormat="1" x14ac:dyDescent="0.25">
      <c r="A42" s="159" t="s">
        <v>63</v>
      </c>
      <c r="B42" s="65">
        <v>19</v>
      </c>
      <c r="C42" s="166" t="s">
        <v>16</v>
      </c>
      <c r="D42" s="122">
        <f t="shared" si="14"/>
        <v>1.4837747034244038</v>
      </c>
      <c r="E42" s="122">
        <f t="shared" si="14"/>
        <v>2.9257052280343676</v>
      </c>
      <c r="F42" s="122">
        <f t="shared" si="14"/>
        <v>1.9291921108937946</v>
      </c>
      <c r="G42" s="122">
        <f t="shared" si="14"/>
        <v>1.0453439292282138</v>
      </c>
      <c r="H42" s="122">
        <f t="shared" si="14"/>
        <v>1.1690203703226698</v>
      </c>
      <c r="I42" s="122">
        <f t="shared" si="14"/>
        <v>1.8032141707427018</v>
      </c>
      <c r="J42" s="122">
        <f t="shared" ref="J42:O42" si="25">(+P20/P$24)*100</f>
        <v>0.25268204248433179</v>
      </c>
      <c r="K42" s="122">
        <f t="shared" si="25"/>
        <v>0.40760755405961974</v>
      </c>
      <c r="L42" s="122">
        <f t="shared" si="25"/>
        <v>0.80118593959982687</v>
      </c>
      <c r="M42" s="122">
        <f t="shared" si="25"/>
        <v>0.62949887416534889</v>
      </c>
      <c r="N42" s="122">
        <f t="shared" si="25"/>
        <v>1.2971348040955291</v>
      </c>
      <c r="O42" s="122">
        <f t="shared" si="25"/>
        <v>2.7541930522372429</v>
      </c>
      <c r="P42" s="122">
        <f t="shared" si="16"/>
        <v>1.2070648000695636</v>
      </c>
      <c r="Q42" s="122">
        <f t="shared" si="16"/>
        <v>2.0870316112153371</v>
      </c>
      <c r="R42" s="122">
        <f t="shared" si="16"/>
        <v>2.4043656741893895</v>
      </c>
      <c r="S42" s="122">
        <f t="shared" si="16"/>
        <v>2.5065203136117393</v>
      </c>
      <c r="T42" s="122">
        <f t="shared" si="16"/>
        <v>0.90123275285779447</v>
      </c>
      <c r="U42" s="122">
        <f t="shared" si="16"/>
        <v>0.81120734783262138</v>
      </c>
      <c r="V42" s="40"/>
      <c r="W42" s="40"/>
      <c r="X42" s="40"/>
      <c r="Y42" s="40"/>
      <c r="Z42" s="40"/>
      <c r="AA42" s="40"/>
    </row>
    <row r="43" spans="1:27" s="36" customFormat="1" x14ac:dyDescent="0.25">
      <c r="A43" s="160" t="s">
        <v>32</v>
      </c>
      <c r="B43" s="65">
        <v>20</v>
      </c>
      <c r="C43" s="166" t="s">
        <v>16</v>
      </c>
      <c r="D43" s="122">
        <f t="shared" si="14"/>
        <v>3.6389042232435829</v>
      </c>
      <c r="E43" s="122">
        <f t="shared" si="14"/>
        <v>4.2609675148395043</v>
      </c>
      <c r="F43" s="122">
        <f t="shared" si="14"/>
        <v>1.4622276419616516</v>
      </c>
      <c r="G43" s="122">
        <f t="shared" si="14"/>
        <v>2.7964123369970211</v>
      </c>
      <c r="H43" s="122">
        <f t="shared" si="14"/>
        <v>2.0244441871131533</v>
      </c>
      <c r="I43" s="122">
        <f t="shared" si="14"/>
        <v>1.8451491203535439</v>
      </c>
      <c r="J43" s="122">
        <f t="shared" ref="J43:O43" si="26">(+P21/P$24)*100</f>
        <v>1.5491918717725168</v>
      </c>
      <c r="K43" s="122">
        <f t="shared" si="26"/>
        <v>13.659556707531953</v>
      </c>
      <c r="L43" s="122">
        <f t="shared" si="26"/>
        <v>12.699871671968452</v>
      </c>
      <c r="M43" s="122">
        <f t="shared" si="26"/>
        <v>10.490661451602358</v>
      </c>
      <c r="N43" s="122">
        <f t="shared" si="26"/>
        <v>10.751299645171114</v>
      </c>
      <c r="O43" s="122">
        <f t="shared" si="26"/>
        <v>10.373938351414756</v>
      </c>
      <c r="P43" s="122">
        <f t="shared" si="16"/>
        <v>0.54871840506743963</v>
      </c>
      <c r="Q43" s="122">
        <f t="shared" si="16"/>
        <v>0.10645431576753348</v>
      </c>
      <c r="R43" s="122">
        <f t="shared" si="16"/>
        <v>0.12549955181772302</v>
      </c>
      <c r="S43" s="122">
        <f t="shared" si="16"/>
        <v>0.20447769389137754</v>
      </c>
      <c r="T43" s="122">
        <f t="shared" si="16"/>
        <v>0.18829762483853951</v>
      </c>
      <c r="U43" s="122">
        <f t="shared" si="16"/>
        <v>0.22332052318656015</v>
      </c>
      <c r="V43" s="40"/>
      <c r="W43" s="40"/>
      <c r="X43" s="40"/>
      <c r="Y43" s="40"/>
      <c r="Z43" s="40"/>
      <c r="AA43" s="40"/>
    </row>
    <row r="44" spans="1:27" s="36" customFormat="1" x14ac:dyDescent="0.25">
      <c r="A44" s="159" t="s">
        <v>33</v>
      </c>
      <c r="B44" s="65">
        <v>21</v>
      </c>
      <c r="C44" s="166" t="s">
        <v>16</v>
      </c>
      <c r="D44" s="122">
        <f>+(D22/D$24)*100</f>
        <v>2.0577851138384688</v>
      </c>
      <c r="E44" s="122">
        <f t="shared" ref="E44:I46" si="27">+(E22/E$24)*100</f>
        <v>3.0124257163052022</v>
      </c>
      <c r="F44" s="122">
        <f t="shared" si="27"/>
        <v>1.1457236592565825</v>
      </c>
      <c r="G44" s="122">
        <f t="shared" si="27"/>
        <v>1.8366281119662553</v>
      </c>
      <c r="H44" s="122">
        <f t="shared" si="27"/>
        <v>1.0924414447666588</v>
      </c>
      <c r="I44" s="122">
        <f t="shared" si="27"/>
        <v>0.89801118995790374</v>
      </c>
      <c r="J44" s="122">
        <f t="shared" ref="J44:O44" si="28">(+P22/P$24)*100</f>
        <v>0.57075490012671659</v>
      </c>
      <c r="K44" s="122">
        <f t="shared" si="28"/>
        <v>5.7369803967465076</v>
      </c>
      <c r="L44" s="122">
        <f t="shared" si="28"/>
        <v>6.2748327176826049</v>
      </c>
      <c r="M44" s="122">
        <f t="shared" si="28"/>
        <v>4.2050922806026438</v>
      </c>
      <c r="N44" s="122">
        <f t="shared" si="28"/>
        <v>4.2773393481373736</v>
      </c>
      <c r="O44" s="122">
        <f t="shared" si="28"/>
        <v>4.3137387359911976</v>
      </c>
      <c r="P44" s="122">
        <f t="shared" si="16"/>
        <v>0.67055102436553016</v>
      </c>
      <c r="Q44" s="122">
        <f t="shared" si="16"/>
        <v>0.15571643782782593</v>
      </c>
      <c r="R44" s="122">
        <f t="shared" si="16"/>
        <v>0.19153447274470722</v>
      </c>
      <c r="S44" s="122">
        <f t="shared" si="16"/>
        <v>0.2906237684558633</v>
      </c>
      <c r="T44" s="122">
        <f t="shared" si="16"/>
        <v>0.25540209832600202</v>
      </c>
      <c r="U44" s="122">
        <f t="shared" si="16"/>
        <v>0.26128147719636829</v>
      </c>
      <c r="V44" s="40"/>
      <c r="W44" s="40"/>
      <c r="X44" s="40"/>
      <c r="Y44" s="40"/>
      <c r="Z44" s="40"/>
      <c r="AA44" s="40"/>
    </row>
    <row r="45" spans="1:27" s="36" customFormat="1" x14ac:dyDescent="0.25">
      <c r="A45" s="164" t="s">
        <v>35</v>
      </c>
      <c r="B45" s="65">
        <v>22</v>
      </c>
      <c r="C45" s="166" t="s">
        <v>16</v>
      </c>
      <c r="D45" s="122">
        <f>+(D23/D$24)*100</f>
        <v>1.581119109405114</v>
      </c>
      <c r="E45" s="122">
        <f t="shared" si="27"/>
        <v>1.2485417985343024</v>
      </c>
      <c r="F45" s="122">
        <f t="shared" si="27"/>
        <v>0.31650398270506885</v>
      </c>
      <c r="G45" s="122">
        <f t="shared" si="27"/>
        <v>0.9597842250307661</v>
      </c>
      <c r="H45" s="122">
        <f t="shared" si="27"/>
        <v>0.93200274234649438</v>
      </c>
      <c r="I45" s="122">
        <f t="shared" si="27"/>
        <v>0.9471379303956402</v>
      </c>
      <c r="J45" s="122">
        <f t="shared" ref="J45:O45" si="29">(+P23/P$24)*100</f>
        <v>0.97843697164580012</v>
      </c>
      <c r="K45" s="122">
        <f t="shared" si="29"/>
        <v>7.9225763107854439</v>
      </c>
      <c r="L45" s="122">
        <f t="shared" si="29"/>
        <v>6.4250389542858475</v>
      </c>
      <c r="M45" s="122">
        <f t="shared" si="29"/>
        <v>6.2855691709997146</v>
      </c>
      <c r="N45" s="122">
        <f t="shared" si="29"/>
        <v>6.4739602970337415</v>
      </c>
      <c r="O45" s="122">
        <f t="shared" si="29"/>
        <v>6.0601996154235573</v>
      </c>
      <c r="P45" s="122">
        <f t="shared" si="16"/>
        <v>0.47764937714355366</v>
      </c>
      <c r="Q45" s="122">
        <f t="shared" si="16"/>
        <v>7.078210290701599E-2</v>
      </c>
      <c r="R45" s="122">
        <f t="shared" si="16"/>
        <v>6.100841249695281E-2</v>
      </c>
      <c r="S45" s="122">
        <f t="shared" si="16"/>
        <v>0.14684533263653782</v>
      </c>
      <c r="T45" s="122">
        <f t="shared" si="16"/>
        <v>0.14396176367864383</v>
      </c>
      <c r="U45" s="122">
        <f t="shared" si="16"/>
        <v>0.19629936082244806</v>
      </c>
      <c r="V45" s="40"/>
      <c r="W45" s="40"/>
      <c r="X45" s="40"/>
      <c r="Y45" s="40"/>
      <c r="Z45" s="40"/>
      <c r="AA45" s="40"/>
    </row>
    <row r="46" spans="1:27" s="36" customFormat="1" x14ac:dyDescent="0.25">
      <c r="A46" s="165" t="s">
        <v>37</v>
      </c>
      <c r="B46" s="65">
        <v>23</v>
      </c>
      <c r="C46" s="166" t="s">
        <v>16</v>
      </c>
      <c r="D46" s="122">
        <f>+(D24/D$24)*100</f>
        <v>100</v>
      </c>
      <c r="E46" s="122">
        <f t="shared" si="27"/>
        <v>100</v>
      </c>
      <c r="F46" s="122">
        <f t="shared" si="27"/>
        <v>100</v>
      </c>
      <c r="G46" s="122">
        <f t="shared" si="27"/>
        <v>100</v>
      </c>
      <c r="H46" s="122">
        <f t="shared" si="27"/>
        <v>100</v>
      </c>
      <c r="I46" s="122">
        <f t="shared" si="27"/>
        <v>100</v>
      </c>
      <c r="J46" s="122">
        <f t="shared" ref="J46:O46" si="30">(+P24/P$24)*100</f>
        <v>100</v>
      </c>
      <c r="K46" s="122">
        <f t="shared" si="30"/>
        <v>100</v>
      </c>
      <c r="L46" s="122">
        <f t="shared" si="30"/>
        <v>100</v>
      </c>
      <c r="M46" s="122">
        <f t="shared" si="30"/>
        <v>100</v>
      </c>
      <c r="N46" s="122">
        <f t="shared" si="30"/>
        <v>100</v>
      </c>
      <c r="O46" s="122">
        <f t="shared" si="30"/>
        <v>100</v>
      </c>
      <c r="P46" s="122">
        <f t="shared" ref="P46:U46" si="31">+V24/V$24</f>
        <v>1</v>
      </c>
      <c r="Q46" s="122">
        <f t="shared" si="31"/>
        <v>1</v>
      </c>
      <c r="R46" s="122">
        <f t="shared" si="31"/>
        <v>1</v>
      </c>
      <c r="S46" s="122">
        <f t="shared" si="31"/>
        <v>1</v>
      </c>
      <c r="T46" s="122">
        <f t="shared" si="31"/>
        <v>1</v>
      </c>
      <c r="U46" s="122">
        <f t="shared" si="31"/>
        <v>1</v>
      </c>
      <c r="V46" s="40"/>
      <c r="W46" s="40"/>
      <c r="X46" s="40"/>
      <c r="Y46" s="40"/>
      <c r="Z46" s="40"/>
      <c r="AA46" s="40"/>
    </row>
    <row r="47" spans="1:27" s="36" customFormat="1" x14ac:dyDescent="0.25">
      <c r="A47" s="124" t="s">
        <v>72</v>
      </c>
      <c r="B47" s="37"/>
      <c r="C47" s="38"/>
      <c r="D47" s="41"/>
      <c r="E47" s="39"/>
      <c r="F47" s="39"/>
      <c r="G47" s="39"/>
      <c r="H47" s="39"/>
      <c r="I47" s="39"/>
      <c r="J47" s="39"/>
      <c r="K47" s="39"/>
      <c r="L47" s="39"/>
      <c r="M47" s="39"/>
      <c r="N47" s="39"/>
      <c r="O47" s="39"/>
      <c r="P47" s="39"/>
      <c r="Q47" s="39"/>
      <c r="R47" s="39"/>
      <c r="S47" s="41">
        <f>+S30+S32+S33+S34+S35+S39+S40+S42+S44+S45</f>
        <v>723.03644021195555</v>
      </c>
      <c r="T47" s="41">
        <f>+T30+T32+T33+T34+T35+T39+T40+T42+T44+T45</f>
        <v>279.40040651464625</v>
      </c>
      <c r="U47" s="41">
        <f>+U30+U32+U33+U34+U35+U39+U40+U42+U44+U45</f>
        <v>134.82042019388484</v>
      </c>
      <c r="V47" s="142" t="s">
        <v>78</v>
      </c>
      <c r="W47" s="40"/>
      <c r="X47" s="40"/>
      <c r="Y47" s="40"/>
      <c r="Z47" s="40"/>
      <c r="AA47" s="40"/>
    </row>
    <row r="48" spans="1:27" s="36" customFormat="1" x14ac:dyDescent="0.25">
      <c r="A48" s="125" t="s">
        <v>72</v>
      </c>
      <c r="B48" s="65"/>
      <c r="C48" s="166" t="s">
        <v>16</v>
      </c>
      <c r="D48" s="41"/>
      <c r="E48" s="39"/>
      <c r="F48" s="39"/>
      <c r="G48" s="39"/>
      <c r="H48" s="39"/>
      <c r="I48" s="43" t="s">
        <v>68</v>
      </c>
      <c r="J48" s="170">
        <v>50</v>
      </c>
      <c r="K48" s="171">
        <v>10</v>
      </c>
      <c r="L48" s="171">
        <v>5</v>
      </c>
      <c r="M48" s="171">
        <v>5</v>
      </c>
      <c r="N48" s="39"/>
      <c r="O48" s="39"/>
      <c r="P48" s="39"/>
      <c r="Q48" s="39"/>
      <c r="R48" s="39"/>
      <c r="S48" s="39"/>
      <c r="T48" s="39"/>
      <c r="U48" s="143">
        <f>+U30+U32+U33+U36+U41+U42+U44+U45</f>
        <v>133.35182907260062</v>
      </c>
      <c r="V48" s="39" t="s">
        <v>79</v>
      </c>
      <c r="W48" s="40"/>
      <c r="X48" s="40"/>
      <c r="Y48" s="40"/>
      <c r="Z48" s="40"/>
      <c r="AA48" s="40"/>
    </row>
    <row r="49" spans="1:27" s="36" customFormat="1" ht="14.4" x14ac:dyDescent="0.25">
      <c r="A49" s="7" t="s">
        <v>69</v>
      </c>
      <c r="B49" s="65"/>
      <c r="C49" s="166" t="s">
        <v>16</v>
      </c>
      <c r="D49" s="343" t="s">
        <v>110</v>
      </c>
      <c r="E49" s="336"/>
      <c r="F49" s="336"/>
      <c r="G49" s="336"/>
      <c r="H49" s="336"/>
      <c r="I49" s="336"/>
      <c r="J49" s="337" t="s">
        <v>40</v>
      </c>
      <c r="K49" s="337"/>
      <c r="L49" s="337"/>
      <c r="M49" s="337"/>
      <c r="N49" s="81"/>
      <c r="O49" s="81"/>
      <c r="P49" s="39"/>
      <c r="Q49" s="39"/>
      <c r="R49" s="39"/>
      <c r="S49" s="39"/>
      <c r="T49" s="39"/>
      <c r="U49" s="39"/>
      <c r="V49" s="40"/>
      <c r="W49" s="40"/>
      <c r="X49" s="40"/>
      <c r="Y49" s="40"/>
      <c r="Z49" s="40"/>
      <c r="AA49" s="40"/>
    </row>
    <row r="50" spans="1:27" s="36" customFormat="1" ht="24" x14ac:dyDescent="0.25">
      <c r="A50" s="167" t="s">
        <v>71</v>
      </c>
      <c r="B50" s="65"/>
      <c r="C50" s="166" t="s">
        <v>16</v>
      </c>
      <c r="D50" s="180" t="s">
        <v>62</v>
      </c>
      <c r="E50" s="181" t="s">
        <v>7</v>
      </c>
      <c r="F50" s="181" t="s">
        <v>8</v>
      </c>
      <c r="G50" s="182">
        <v>2000</v>
      </c>
      <c r="H50" s="182">
        <v>2005</v>
      </c>
      <c r="I50" s="181" t="s">
        <v>9</v>
      </c>
      <c r="J50" s="183" t="s">
        <v>86</v>
      </c>
      <c r="K50" s="183" t="s">
        <v>67</v>
      </c>
      <c r="L50" s="184" t="s">
        <v>65</v>
      </c>
      <c r="M50" s="184" t="s">
        <v>66</v>
      </c>
      <c r="N50" s="82"/>
      <c r="O50" s="83"/>
      <c r="P50" s="39"/>
      <c r="Q50" s="39"/>
      <c r="R50" s="39"/>
      <c r="S50" s="39"/>
      <c r="T50" s="39"/>
      <c r="U50" s="39"/>
      <c r="V50" s="40"/>
      <c r="W50" s="40"/>
      <c r="X50" s="40"/>
      <c r="Y50" s="40"/>
      <c r="Z50" s="40"/>
      <c r="AA50" s="40"/>
    </row>
    <row r="51" spans="1:27" s="36" customFormat="1" x14ac:dyDescent="0.25">
      <c r="A51" s="157" t="s">
        <v>14</v>
      </c>
      <c r="B51" s="65">
        <v>7</v>
      </c>
      <c r="C51" s="166" t="s">
        <v>16</v>
      </c>
      <c r="D51" s="169">
        <f t="shared" ref="D51:I66" si="32">(V8/$V8)*100</f>
        <v>100</v>
      </c>
      <c r="E51" s="217">
        <f t="shared" si="32"/>
        <v>98.053849977803651</v>
      </c>
      <c r="F51" s="217">
        <f t="shared" si="32"/>
        <v>113.05659920960716</v>
      </c>
      <c r="G51" s="217">
        <f t="shared" si="32"/>
        <v>97.958204986594779</v>
      </c>
      <c r="H51" s="217">
        <f t="shared" si="32"/>
        <v>172.43936328988309</v>
      </c>
      <c r="I51" s="217">
        <f t="shared" si="32"/>
        <v>210.66706481010056</v>
      </c>
      <c r="J51" s="123">
        <f t="shared" ref="J51:J67" si="33">EXP(LN(AA8/V8)/50)-1</f>
        <v>1.5013767243237996E-2</v>
      </c>
      <c r="K51" s="123">
        <f t="shared" ref="K51:K67" si="34">EXP(LN(Y8/X8)/10)-1</f>
        <v>-1.4232512744217551E-2</v>
      </c>
      <c r="L51" s="123">
        <f t="shared" ref="L51:M66" si="35">EXP(LN(Z8/Y8)/5)-1</f>
        <v>0.11974496539466317</v>
      </c>
      <c r="M51" s="123">
        <f t="shared" si="35"/>
        <v>4.0859347442443017E-2</v>
      </c>
      <c r="N51" s="39"/>
      <c r="O51" s="83"/>
      <c r="P51" s="39"/>
      <c r="Q51" s="39"/>
      <c r="R51" s="39"/>
      <c r="S51" s="39"/>
      <c r="T51" s="39"/>
      <c r="U51" s="39"/>
      <c r="V51" s="40"/>
      <c r="W51" s="40"/>
      <c r="X51" s="40"/>
      <c r="Y51" s="40"/>
      <c r="Z51" s="40"/>
      <c r="AA51" s="40"/>
    </row>
    <row r="52" spans="1:27" s="36" customFormat="1" x14ac:dyDescent="0.25">
      <c r="A52" s="158" t="s">
        <v>17</v>
      </c>
      <c r="B52" s="65">
        <v>8</v>
      </c>
      <c r="C52" s="166" t="s">
        <v>16</v>
      </c>
      <c r="D52" s="169">
        <f t="shared" si="32"/>
        <v>100</v>
      </c>
      <c r="E52" s="217">
        <f t="shared" si="32"/>
        <v>869.57848574434081</v>
      </c>
      <c r="F52" s="217">
        <f t="shared" si="32"/>
        <v>1075.5751101298824</v>
      </c>
      <c r="G52" s="217">
        <f t="shared" si="32"/>
        <v>1380.7456346460572</v>
      </c>
      <c r="H52" s="217">
        <f t="shared" si="32"/>
        <v>1298.9891369875925</v>
      </c>
      <c r="I52" s="217">
        <f t="shared" si="32"/>
        <v>885.81010627023443</v>
      </c>
      <c r="J52" s="123">
        <f t="shared" si="33"/>
        <v>4.4592281763952357E-2</v>
      </c>
      <c r="K52" s="123">
        <f t="shared" si="34"/>
        <v>2.5291350255084E-2</v>
      </c>
      <c r="L52" s="123">
        <f t="shared" si="35"/>
        <v>-1.2133249881592256E-2</v>
      </c>
      <c r="M52" s="123">
        <f t="shared" si="35"/>
        <v>-7.3709900205126799E-2</v>
      </c>
      <c r="N52" s="39"/>
      <c r="O52" s="83"/>
      <c r="P52" s="39"/>
      <c r="Q52" s="39"/>
      <c r="R52" s="39"/>
      <c r="S52" s="39"/>
      <c r="T52" s="39"/>
      <c r="U52" s="39"/>
      <c r="V52" s="40"/>
      <c r="W52" s="40"/>
      <c r="X52" s="40"/>
      <c r="Y52" s="40"/>
      <c r="Z52" s="40"/>
      <c r="AA52" s="40"/>
    </row>
    <row r="53" spans="1:27" s="36" customFormat="1" x14ac:dyDescent="0.25">
      <c r="A53" s="159" t="s">
        <v>19</v>
      </c>
      <c r="B53" s="65">
        <v>9</v>
      </c>
      <c r="C53" s="166" t="s">
        <v>16</v>
      </c>
      <c r="D53" s="169">
        <f t="shared" si="32"/>
        <v>100</v>
      </c>
      <c r="E53" s="217">
        <f t="shared" si="32"/>
        <v>3153.4206476849681</v>
      </c>
      <c r="F53" s="217">
        <f t="shared" si="32"/>
        <v>1157.5375920581243</v>
      </c>
      <c r="G53" s="217">
        <f t="shared" si="32"/>
        <v>5297.0723884924073</v>
      </c>
      <c r="H53" s="217">
        <f t="shared" si="32"/>
        <v>2768.7512114817182</v>
      </c>
      <c r="I53" s="217">
        <f t="shared" si="32"/>
        <v>1440.5889919638141</v>
      </c>
      <c r="J53" s="123">
        <f t="shared" si="33"/>
        <v>5.4801653301198128E-2</v>
      </c>
      <c r="K53" s="123">
        <f t="shared" si="34"/>
        <v>0.16426027760382489</v>
      </c>
      <c r="L53" s="123">
        <f t="shared" si="35"/>
        <v>-0.12168640482057191</v>
      </c>
      <c r="M53" s="123">
        <f t="shared" si="35"/>
        <v>-0.12249170267139986</v>
      </c>
      <c r="N53" s="39"/>
      <c r="O53" s="83"/>
      <c r="P53" s="39"/>
      <c r="Q53" s="39"/>
      <c r="R53" s="39"/>
      <c r="S53" s="39"/>
      <c r="T53" s="39"/>
      <c r="U53" s="39"/>
      <c r="V53" s="40"/>
      <c r="W53" s="40"/>
      <c r="X53" s="40"/>
      <c r="Y53" s="40"/>
      <c r="Z53" s="40"/>
      <c r="AA53" s="40"/>
    </row>
    <row r="54" spans="1:27" s="36" customFormat="1" x14ac:dyDescent="0.25">
      <c r="A54" s="160" t="s">
        <v>20</v>
      </c>
      <c r="B54" s="65">
        <v>10</v>
      </c>
      <c r="C54" s="166" t="s">
        <v>16</v>
      </c>
      <c r="D54" s="169">
        <f t="shared" si="32"/>
        <v>100</v>
      </c>
      <c r="E54" s="217">
        <f t="shared" si="32"/>
        <v>170.57200218226362</v>
      </c>
      <c r="F54" s="217">
        <f t="shared" si="32"/>
        <v>448.87602991075352</v>
      </c>
      <c r="G54" s="217">
        <f t="shared" si="32"/>
        <v>476.75911192169912</v>
      </c>
      <c r="H54" s="217">
        <f t="shared" si="32"/>
        <v>544.96348568507449</v>
      </c>
      <c r="I54" s="217">
        <f t="shared" si="32"/>
        <v>622.92506488853894</v>
      </c>
      <c r="J54" s="123">
        <f t="shared" si="33"/>
        <v>3.7262592974891762E-2</v>
      </c>
      <c r="K54" s="123">
        <f t="shared" si="34"/>
        <v>6.0446566400551571E-3</v>
      </c>
      <c r="L54" s="123">
        <f t="shared" si="35"/>
        <v>2.7102249526371081E-2</v>
      </c>
      <c r="M54" s="123">
        <f t="shared" si="35"/>
        <v>2.7102249526371303E-2</v>
      </c>
      <c r="N54" s="39"/>
      <c r="O54" s="83"/>
      <c r="P54" s="39"/>
      <c r="Q54" s="39"/>
      <c r="R54" s="39"/>
      <c r="S54" s="39"/>
      <c r="T54" s="39"/>
      <c r="U54" s="39"/>
      <c r="V54" s="40"/>
      <c r="W54" s="40"/>
      <c r="X54" s="40"/>
      <c r="Y54" s="40"/>
      <c r="Z54" s="40"/>
      <c r="AA54" s="40"/>
    </row>
    <row r="55" spans="1:27" s="36" customFormat="1" x14ac:dyDescent="0.25">
      <c r="A55" s="160" t="s">
        <v>21</v>
      </c>
      <c r="B55" s="65">
        <v>11</v>
      </c>
      <c r="C55" s="166"/>
      <c r="D55" s="169">
        <f t="shared" si="32"/>
        <v>100</v>
      </c>
      <c r="E55" s="169">
        <f t="shared" si="32"/>
        <v>122.11307567776828</v>
      </c>
      <c r="F55" s="169">
        <f t="shared" si="32"/>
        <v>170.63569631717613</v>
      </c>
      <c r="G55" s="169">
        <f t="shared" si="32"/>
        <v>258.60666151854923</v>
      </c>
      <c r="H55" s="169">
        <f t="shared" si="32"/>
        <v>376.43344697133045</v>
      </c>
      <c r="I55" s="169">
        <f t="shared" si="32"/>
        <v>547.94466301307421</v>
      </c>
      <c r="J55" s="123">
        <f t="shared" si="33"/>
        <v>3.4605383795012656E-2</v>
      </c>
      <c r="K55" s="123">
        <f t="shared" si="34"/>
        <v>4.2454196268586042E-2</v>
      </c>
      <c r="L55" s="123">
        <f t="shared" si="35"/>
        <v>7.7977507887486919E-2</v>
      </c>
      <c r="M55" s="123">
        <f t="shared" si="35"/>
        <v>7.7977507887487141E-2</v>
      </c>
      <c r="N55" s="39"/>
      <c r="O55" s="83"/>
      <c r="P55" s="39"/>
      <c r="Q55" s="39"/>
      <c r="R55" s="39"/>
      <c r="S55" s="39"/>
      <c r="T55" s="39"/>
      <c r="U55" s="39"/>
      <c r="V55" s="40"/>
      <c r="W55" s="40"/>
      <c r="X55" s="40"/>
      <c r="Y55" s="40"/>
      <c r="Z55" s="40"/>
      <c r="AA55" s="40"/>
    </row>
    <row r="56" spans="1:27" s="36" customFormat="1" x14ac:dyDescent="0.25">
      <c r="A56" s="160" t="s">
        <v>22</v>
      </c>
      <c r="B56" s="65">
        <v>12</v>
      </c>
      <c r="C56" s="166"/>
      <c r="D56" s="169">
        <f t="shared" si="32"/>
        <v>100</v>
      </c>
      <c r="E56" s="169">
        <f t="shared" si="32"/>
        <v>251.3749121129957</v>
      </c>
      <c r="F56" s="169">
        <f t="shared" si="32"/>
        <v>209.59978676584748</v>
      </c>
      <c r="G56" s="169">
        <f t="shared" si="32"/>
        <v>374.36096555166034</v>
      </c>
      <c r="H56" s="169">
        <f t="shared" si="32"/>
        <v>334.31847534467749</v>
      </c>
      <c r="I56" s="169">
        <f t="shared" si="32"/>
        <v>298.55901988095002</v>
      </c>
      <c r="J56" s="123">
        <f t="shared" si="33"/>
        <v>2.211698194825984E-2</v>
      </c>
      <c r="K56" s="123">
        <f t="shared" si="34"/>
        <v>5.9717172937691521E-2</v>
      </c>
      <c r="L56" s="123">
        <f t="shared" si="35"/>
        <v>-2.2371252272837872E-2</v>
      </c>
      <c r="M56" s="123">
        <f t="shared" si="35"/>
        <v>-2.2371252272837761E-2</v>
      </c>
      <c r="N56" s="39"/>
      <c r="O56" s="83"/>
      <c r="P56" s="39"/>
      <c r="Q56" s="39"/>
      <c r="R56" s="39"/>
      <c r="S56" s="39"/>
      <c r="T56" s="39"/>
      <c r="U56" s="39"/>
      <c r="V56" s="40"/>
      <c r="W56" s="40"/>
      <c r="X56" s="40"/>
      <c r="Y56" s="40"/>
      <c r="Z56" s="40"/>
      <c r="AA56" s="40"/>
    </row>
    <row r="57" spans="1:27" s="36" customFormat="1" x14ac:dyDescent="0.25">
      <c r="A57" s="161" t="s">
        <v>61</v>
      </c>
      <c r="B57" s="65">
        <v>13</v>
      </c>
      <c r="C57" s="166" t="s">
        <v>16</v>
      </c>
      <c r="D57" s="169">
        <f t="shared" si="32"/>
        <v>100</v>
      </c>
      <c r="E57" s="217">
        <f t="shared" si="32"/>
        <v>213.74094590409425</v>
      </c>
      <c r="F57" s="217">
        <f t="shared" si="32"/>
        <v>170.80642166353559</v>
      </c>
      <c r="G57" s="217">
        <f t="shared" si="32"/>
        <v>305.39737893748196</v>
      </c>
      <c r="H57" s="217">
        <f t="shared" si="32"/>
        <v>291.06116171006295</v>
      </c>
      <c r="I57" s="217">
        <f t="shared" si="32"/>
        <v>296.25252949977437</v>
      </c>
      <c r="J57" s="123">
        <f t="shared" si="33"/>
        <v>2.1958455639841556E-2</v>
      </c>
      <c r="K57" s="123">
        <f t="shared" si="34"/>
        <v>5.9829761867852271E-2</v>
      </c>
      <c r="L57" s="123">
        <f t="shared" si="35"/>
        <v>-9.5699908832541647E-3</v>
      </c>
      <c r="M57" s="123">
        <f t="shared" si="35"/>
        <v>3.5420197834354905E-3</v>
      </c>
      <c r="N57" s="39"/>
      <c r="O57" s="83"/>
      <c r="P57" s="39"/>
      <c r="Q57" s="39"/>
      <c r="R57" s="39"/>
      <c r="S57" s="39"/>
      <c r="T57" s="39"/>
      <c r="U57" s="39"/>
      <c r="V57" s="40"/>
      <c r="W57" s="40"/>
      <c r="X57" s="40"/>
      <c r="Y57" s="40"/>
      <c r="Z57" s="40"/>
      <c r="AA57" s="40"/>
    </row>
    <row r="58" spans="1:27" s="36" customFormat="1" x14ac:dyDescent="0.25">
      <c r="A58" s="162" t="s">
        <v>23</v>
      </c>
      <c r="B58" s="65">
        <v>14</v>
      </c>
      <c r="C58" s="166" t="s">
        <v>16</v>
      </c>
      <c r="D58" s="169">
        <f t="shared" si="32"/>
        <v>100</v>
      </c>
      <c r="E58" s="217">
        <f t="shared" si="32"/>
        <v>84.039870806232969</v>
      </c>
      <c r="F58" s="217">
        <f t="shared" si="32"/>
        <v>76.296373599027902</v>
      </c>
      <c r="G58" s="217">
        <f t="shared" si="32"/>
        <v>98.643500459359771</v>
      </c>
      <c r="H58" s="217">
        <f t="shared" si="32"/>
        <v>149.75657414467258</v>
      </c>
      <c r="I58" s="217">
        <f t="shared" si="32"/>
        <v>239.08170950128326</v>
      </c>
      <c r="J58" s="123">
        <f t="shared" si="33"/>
        <v>1.7585540171342728E-2</v>
      </c>
      <c r="K58" s="123">
        <f t="shared" si="34"/>
        <v>2.6021491743518643E-2</v>
      </c>
      <c r="L58" s="123">
        <f t="shared" si="35"/>
        <v>8.7084952519382863E-2</v>
      </c>
      <c r="M58" s="123">
        <f t="shared" si="35"/>
        <v>9.8075220406387054E-2</v>
      </c>
      <c r="N58" s="39"/>
      <c r="O58" s="83"/>
      <c r="P58" s="39"/>
      <c r="Q58" s="39"/>
      <c r="R58" s="39"/>
      <c r="S58" s="39"/>
      <c r="T58" s="39"/>
      <c r="U58" s="39"/>
      <c r="V58" s="40"/>
      <c r="W58" s="40"/>
      <c r="X58" s="40"/>
      <c r="Y58" s="40"/>
      <c r="Z58" s="40"/>
      <c r="AA58" s="40"/>
    </row>
    <row r="59" spans="1:27" s="36" customFormat="1" x14ac:dyDescent="0.25">
      <c r="A59" s="159" t="s">
        <v>24</v>
      </c>
      <c r="B59" s="65">
        <v>15</v>
      </c>
      <c r="C59" s="166" t="s">
        <v>16</v>
      </c>
      <c r="D59" s="169">
        <f t="shared" si="32"/>
        <v>100</v>
      </c>
      <c r="E59" s="217">
        <f t="shared" si="32"/>
        <v>124.48156512615778</v>
      </c>
      <c r="F59" s="217">
        <f t="shared" si="32"/>
        <v>92.101090905453333</v>
      </c>
      <c r="G59" s="217">
        <f t="shared" si="32"/>
        <v>121.05713720806719</v>
      </c>
      <c r="H59" s="217">
        <f t="shared" si="32"/>
        <v>189.39394970753577</v>
      </c>
      <c r="I59" s="217">
        <f t="shared" si="32"/>
        <v>303.03026771318298</v>
      </c>
      <c r="J59" s="123">
        <f t="shared" si="33"/>
        <v>2.2420903711673157E-2</v>
      </c>
      <c r="K59" s="123">
        <f t="shared" si="34"/>
        <v>2.7714685732325606E-2</v>
      </c>
      <c r="L59" s="123">
        <f t="shared" si="35"/>
        <v>9.3641899048407584E-2</v>
      </c>
      <c r="M59" s="123">
        <f t="shared" si="35"/>
        <v>9.856050573484465E-2</v>
      </c>
      <c r="N59" s="39"/>
      <c r="O59" s="83"/>
      <c r="P59" s="39"/>
      <c r="Q59" s="39"/>
      <c r="R59" s="39"/>
      <c r="S59" s="39"/>
      <c r="T59" s="39"/>
      <c r="U59" s="39"/>
      <c r="V59" s="40"/>
      <c r="W59" s="40"/>
      <c r="X59" s="40"/>
      <c r="Y59" s="40"/>
      <c r="Z59" s="40"/>
      <c r="AA59" s="40"/>
    </row>
    <row r="60" spans="1:27" s="36" customFormat="1" x14ac:dyDescent="0.25">
      <c r="A60" s="163" t="s">
        <v>25</v>
      </c>
      <c r="B60" s="65">
        <v>16</v>
      </c>
      <c r="C60" s="166"/>
      <c r="D60" s="169">
        <f t="shared" si="32"/>
        <v>100</v>
      </c>
      <c r="E60" s="169">
        <f t="shared" si="32"/>
        <v>114.45021250169928</v>
      </c>
      <c r="F60" s="169">
        <f t="shared" si="32"/>
        <v>81.658556516682964</v>
      </c>
      <c r="G60" s="169">
        <f t="shared" si="32"/>
        <v>109.6300727472032</v>
      </c>
      <c r="H60" s="169">
        <f t="shared" si="32"/>
        <v>186.27983818346056</v>
      </c>
      <c r="I60" s="169">
        <f t="shared" si="32"/>
        <v>316.43704812157245</v>
      </c>
      <c r="J60" s="123">
        <f t="shared" si="33"/>
        <v>2.3306532362709298E-2</v>
      </c>
      <c r="K60" s="123">
        <f t="shared" si="34"/>
        <v>2.9894645849510182E-2</v>
      </c>
      <c r="L60" s="123">
        <f t="shared" si="35"/>
        <v>0.11185263574742188</v>
      </c>
      <c r="M60" s="123">
        <f t="shared" si="35"/>
        <v>0.11179391949013051</v>
      </c>
      <c r="N60" s="39"/>
      <c r="O60" s="83"/>
      <c r="P60" s="39"/>
      <c r="Q60" s="39"/>
      <c r="R60" s="39"/>
      <c r="S60" s="39"/>
      <c r="T60" s="39"/>
      <c r="U60" s="39"/>
      <c r="V60" s="40"/>
      <c r="W60" s="40"/>
      <c r="X60" s="40"/>
      <c r="Y60" s="40"/>
      <c r="Z60" s="40"/>
      <c r="AA60" s="40"/>
    </row>
    <row r="61" spans="1:27" s="36" customFormat="1" x14ac:dyDescent="0.25">
      <c r="A61" s="163" t="s">
        <v>26</v>
      </c>
      <c r="B61" s="65">
        <v>17</v>
      </c>
      <c r="C61" s="166"/>
      <c r="D61" s="169">
        <f t="shared" si="32"/>
        <v>100</v>
      </c>
      <c r="E61" s="169">
        <f t="shared" si="32"/>
        <v>146.68565989624025</v>
      </c>
      <c r="F61" s="169">
        <f t="shared" si="32"/>
        <v>70.957561874698854</v>
      </c>
      <c r="G61" s="169">
        <f t="shared" si="32"/>
        <v>114.30762128962965</v>
      </c>
      <c r="H61" s="169">
        <f t="shared" si="32"/>
        <v>221.52763810221759</v>
      </c>
      <c r="I61" s="169">
        <f t="shared" si="32"/>
        <v>350.12535919486112</v>
      </c>
      <c r="J61" s="123">
        <f t="shared" si="33"/>
        <v>2.5379124198970038E-2</v>
      </c>
      <c r="K61" s="123">
        <f t="shared" si="34"/>
        <v>4.883615628245308E-2</v>
      </c>
      <c r="L61" s="123">
        <f t="shared" si="35"/>
        <v>0.14148588594667455</v>
      </c>
      <c r="M61" s="123">
        <f t="shared" si="35"/>
        <v>9.5870232113574927E-2</v>
      </c>
      <c r="N61" s="39"/>
      <c r="O61" s="83"/>
      <c r="P61" s="39"/>
      <c r="Q61" s="39"/>
      <c r="R61" s="39"/>
      <c r="S61" s="39"/>
      <c r="T61" s="39"/>
      <c r="U61" s="39"/>
      <c r="V61" s="40"/>
      <c r="W61" s="40"/>
      <c r="X61" s="40"/>
      <c r="Y61" s="40"/>
      <c r="Z61" s="40"/>
      <c r="AA61" s="40"/>
    </row>
    <row r="62" spans="1:27" s="36" customFormat="1" x14ac:dyDescent="0.25">
      <c r="A62" s="160" t="s">
        <v>27</v>
      </c>
      <c r="B62" s="65">
        <v>18</v>
      </c>
      <c r="C62" s="166" t="s">
        <v>16</v>
      </c>
      <c r="D62" s="169">
        <f t="shared" si="32"/>
        <v>100</v>
      </c>
      <c r="E62" s="217">
        <f t="shared" si="32"/>
        <v>117.31596645889692</v>
      </c>
      <c r="F62" s="217">
        <f t="shared" si="32"/>
        <v>81.692023674423638</v>
      </c>
      <c r="G62" s="217">
        <f t="shared" si="32"/>
        <v>110.90125906451117</v>
      </c>
      <c r="H62" s="217">
        <f t="shared" si="32"/>
        <v>187.17055267419082</v>
      </c>
      <c r="I62" s="217">
        <f t="shared" si="32"/>
        <v>313.76817133483615</v>
      </c>
      <c r="J62" s="123">
        <f t="shared" si="33"/>
        <v>2.3133200629847916E-2</v>
      </c>
      <c r="K62" s="123">
        <f t="shared" si="34"/>
        <v>3.1040398406657177E-2</v>
      </c>
      <c r="L62" s="123">
        <f t="shared" si="35"/>
        <v>0.11035079844074125</v>
      </c>
      <c r="M62" s="123">
        <f t="shared" si="35"/>
        <v>0.10885375826170129</v>
      </c>
      <c r="N62" s="39"/>
      <c r="O62" s="83"/>
      <c r="P62" s="39"/>
      <c r="Q62" s="39"/>
      <c r="R62" s="39"/>
      <c r="S62" s="39"/>
      <c r="T62" s="39"/>
      <c r="U62" s="39"/>
      <c r="V62" s="40"/>
      <c r="W62" s="40"/>
      <c r="X62" s="40"/>
      <c r="Y62" s="40"/>
      <c r="Z62" s="40"/>
      <c r="AA62" s="40"/>
    </row>
    <row r="63" spans="1:27" s="36" customFormat="1" x14ac:dyDescent="0.25">
      <c r="A63" s="159" t="s">
        <v>63</v>
      </c>
      <c r="B63" s="65">
        <v>19</v>
      </c>
      <c r="C63" s="166" t="s">
        <v>16</v>
      </c>
      <c r="D63" s="169">
        <f t="shared" si="32"/>
        <v>100</v>
      </c>
      <c r="E63" s="217">
        <f t="shared" si="32"/>
        <v>401.07117602007787</v>
      </c>
      <c r="F63" s="217">
        <f t="shared" si="32"/>
        <v>447.38879636515708</v>
      </c>
      <c r="G63" s="217">
        <f t="shared" si="32"/>
        <v>427.62897086231015</v>
      </c>
      <c r="H63" s="217">
        <f t="shared" si="32"/>
        <v>210.15729614501612</v>
      </c>
      <c r="I63" s="217">
        <f t="shared" si="32"/>
        <v>209.75737369976338</v>
      </c>
      <c r="J63" s="123">
        <f t="shared" si="33"/>
        <v>1.4925921685221999E-2</v>
      </c>
      <c r="K63" s="123">
        <f t="shared" si="34"/>
        <v>-4.5070205603922053E-3</v>
      </c>
      <c r="L63" s="123">
        <f t="shared" si="35"/>
        <v>-0.13244808962451216</v>
      </c>
      <c r="M63" s="123">
        <f t="shared" si="35"/>
        <v>-3.8088347761899843E-4</v>
      </c>
      <c r="N63" s="39"/>
      <c r="O63" s="83"/>
      <c r="P63" s="39"/>
      <c r="Q63" s="39"/>
      <c r="R63" s="39"/>
      <c r="S63" s="39"/>
      <c r="T63" s="39"/>
      <c r="U63" s="39"/>
      <c r="V63" s="40"/>
      <c r="W63" s="40"/>
      <c r="X63" s="40"/>
      <c r="Y63" s="40"/>
      <c r="Z63" s="40"/>
      <c r="AA63" s="40"/>
    </row>
    <row r="64" spans="1:27" s="36" customFormat="1" x14ac:dyDescent="0.25">
      <c r="A64" s="160" t="s">
        <v>32</v>
      </c>
      <c r="B64" s="65">
        <v>20</v>
      </c>
      <c r="C64" s="166" t="s">
        <v>16</v>
      </c>
      <c r="D64" s="169">
        <f t="shared" si="32"/>
        <v>100</v>
      </c>
      <c r="E64" s="217">
        <f t="shared" si="32"/>
        <v>45.002511861834378</v>
      </c>
      <c r="F64" s="217">
        <f t="shared" si="32"/>
        <v>51.369793245654371</v>
      </c>
      <c r="G64" s="217">
        <f t="shared" si="32"/>
        <v>76.740193112407255</v>
      </c>
      <c r="H64" s="217">
        <f t="shared" si="32"/>
        <v>96.590275646263962</v>
      </c>
      <c r="I64" s="217">
        <f t="shared" si="32"/>
        <v>127.02671159505465</v>
      </c>
      <c r="J64" s="123">
        <f t="shared" si="33"/>
        <v>4.7960083250806473E-3</v>
      </c>
      <c r="K64" s="123">
        <f t="shared" si="34"/>
        <v>4.0953924826696575E-2</v>
      </c>
      <c r="L64" s="123">
        <f t="shared" si="35"/>
        <v>4.7085398740686291E-2</v>
      </c>
      <c r="M64" s="123">
        <f t="shared" si="35"/>
        <v>5.6312283290726795E-2</v>
      </c>
      <c r="N64" s="39"/>
      <c r="O64" s="83"/>
      <c r="P64" s="39"/>
      <c r="Q64" s="39"/>
      <c r="R64" s="39"/>
      <c r="S64" s="39"/>
      <c r="T64" s="39"/>
      <c r="U64" s="39"/>
      <c r="V64" s="40"/>
      <c r="W64" s="40"/>
      <c r="X64" s="40"/>
      <c r="Y64" s="40"/>
      <c r="Z64" s="40"/>
      <c r="AA64" s="40"/>
    </row>
    <row r="65" spans="1:27" s="36" customFormat="1" x14ac:dyDescent="0.25">
      <c r="A65" s="159" t="s">
        <v>33</v>
      </c>
      <c r="B65" s="65">
        <v>21</v>
      </c>
      <c r="C65" s="166" t="s">
        <v>16</v>
      </c>
      <c r="D65" s="169">
        <f t="shared" si="32"/>
        <v>100</v>
      </c>
      <c r="E65" s="217">
        <f t="shared" si="32"/>
        <v>53.867353550730797</v>
      </c>
      <c r="F65" s="217">
        <f t="shared" si="32"/>
        <v>64.154967692646707</v>
      </c>
      <c r="G65" s="217">
        <f t="shared" si="32"/>
        <v>89.25360701340152</v>
      </c>
      <c r="H65" s="217">
        <f t="shared" si="32"/>
        <v>107.20887080236807</v>
      </c>
      <c r="I65" s="217">
        <f t="shared" si="32"/>
        <v>121.61656666743872</v>
      </c>
      <c r="J65" s="123">
        <f t="shared" si="33"/>
        <v>3.9217302035987611E-3</v>
      </c>
      <c r="K65" s="123">
        <f t="shared" si="34"/>
        <v>3.3569175131190399E-2</v>
      </c>
      <c r="L65" s="123">
        <f t="shared" si="35"/>
        <v>3.7339676114101383E-2</v>
      </c>
      <c r="M65" s="123">
        <f t="shared" si="35"/>
        <v>2.5539525871303814E-2</v>
      </c>
      <c r="N65" s="39"/>
      <c r="O65" s="83"/>
      <c r="P65" s="39"/>
      <c r="Q65" s="39"/>
      <c r="R65" s="39"/>
      <c r="S65" s="39"/>
      <c r="T65" s="39"/>
      <c r="U65" s="39"/>
      <c r="V65" s="40"/>
      <c r="W65" s="40"/>
      <c r="X65" s="40"/>
      <c r="Y65" s="40"/>
      <c r="Z65" s="40"/>
      <c r="AA65" s="40"/>
    </row>
    <row r="66" spans="1:27" s="36" customFormat="1" x14ac:dyDescent="0.25">
      <c r="A66" s="164" t="s">
        <v>35</v>
      </c>
      <c r="B66" s="65">
        <v>22</v>
      </c>
      <c r="C66" s="166" t="s">
        <v>16</v>
      </c>
      <c r="D66" s="169">
        <f t="shared" si="32"/>
        <v>100</v>
      </c>
      <c r="E66" s="217">
        <f t="shared" si="32"/>
        <v>34.374568492089409</v>
      </c>
      <c r="F66" s="217">
        <f t="shared" si="32"/>
        <v>28.687696588464018</v>
      </c>
      <c r="G66" s="217">
        <f t="shared" si="32"/>
        <v>63.310742711034059</v>
      </c>
      <c r="H66" s="217">
        <f t="shared" si="32"/>
        <v>84.835189414128379</v>
      </c>
      <c r="I66" s="217">
        <f t="shared" si="32"/>
        <v>128.27015396617549</v>
      </c>
      <c r="J66" s="123">
        <f t="shared" si="33"/>
        <v>4.9917862911708077E-3</v>
      </c>
      <c r="K66" s="123">
        <f t="shared" si="34"/>
        <v>8.2376047459511659E-2</v>
      </c>
      <c r="L66" s="123">
        <f t="shared" si="35"/>
        <v>6.0277938706176482E-2</v>
      </c>
      <c r="M66" s="123">
        <f t="shared" si="35"/>
        <v>8.6200295081204859E-2</v>
      </c>
      <c r="N66" s="39"/>
      <c r="O66" s="83"/>
      <c r="P66" s="39"/>
      <c r="Q66" s="39"/>
      <c r="R66" s="39"/>
      <c r="S66" s="39"/>
      <c r="T66" s="39"/>
      <c r="U66" s="39"/>
      <c r="V66" s="40"/>
      <c r="W66" s="40"/>
      <c r="X66" s="40"/>
      <c r="Y66" s="40"/>
      <c r="Z66" s="40"/>
      <c r="AA66" s="40"/>
    </row>
    <row r="67" spans="1:27" s="36" customFormat="1" x14ac:dyDescent="0.25">
      <c r="A67" s="168" t="s">
        <v>37</v>
      </c>
      <c r="B67" s="65">
        <v>23</v>
      </c>
      <c r="C67" s="166" t="s">
        <v>16</v>
      </c>
      <c r="D67" s="169">
        <f t="shared" ref="D67:I67" si="36">(V24/$V24)*100</f>
        <v>100</v>
      </c>
      <c r="E67" s="217">
        <f t="shared" si="36"/>
        <v>231.96529285650064</v>
      </c>
      <c r="F67" s="217">
        <f t="shared" si="36"/>
        <v>224.60280224219071</v>
      </c>
      <c r="G67" s="217">
        <f t="shared" si="36"/>
        <v>205.93325153391254</v>
      </c>
      <c r="H67" s="217">
        <f t="shared" si="36"/>
        <v>281.4738743682467</v>
      </c>
      <c r="I67" s="217">
        <f t="shared" si="36"/>
        <v>312.11593808228565</v>
      </c>
      <c r="J67" s="123">
        <f t="shared" si="33"/>
        <v>2.3025169807566082E-2</v>
      </c>
      <c r="K67" s="123">
        <f t="shared" si="34"/>
        <v>-8.640596032893133E-3</v>
      </c>
      <c r="L67" s="123">
        <f t="shared" ref="L67:M67" si="37">EXP(LN(Z24/Y24)/5)-1</f>
        <v>6.4491806207578106E-2</v>
      </c>
      <c r="M67" s="123">
        <f t="shared" si="37"/>
        <v>2.0882057759282757E-2</v>
      </c>
      <c r="N67" s="39"/>
      <c r="O67" s="83"/>
      <c r="P67" s="39"/>
      <c r="Q67" s="39"/>
      <c r="R67" s="39"/>
      <c r="S67" s="39"/>
      <c r="T67" s="39"/>
      <c r="U67" s="39"/>
      <c r="V67" s="40"/>
      <c r="W67" s="40"/>
      <c r="X67" s="40"/>
      <c r="Y67" s="40"/>
      <c r="Z67" s="40"/>
      <c r="AA67" s="40"/>
    </row>
    <row r="68" spans="1:27" s="36" customFormat="1" x14ac:dyDescent="0.25">
      <c r="B68" s="37"/>
      <c r="C68" s="38"/>
      <c r="D68" s="84"/>
      <c r="E68" s="39"/>
      <c r="F68" s="39"/>
      <c r="G68" s="39"/>
      <c r="H68" s="39"/>
      <c r="I68" s="39"/>
      <c r="J68" s="39"/>
      <c r="K68" s="39"/>
      <c r="L68" s="39"/>
      <c r="M68" s="39"/>
      <c r="N68" s="39"/>
      <c r="O68" s="83"/>
      <c r="P68" s="39"/>
      <c r="Q68" s="39"/>
      <c r="R68" s="39"/>
      <c r="S68" s="39"/>
      <c r="T68" s="39"/>
      <c r="U68" s="39"/>
      <c r="V68" s="40"/>
      <c r="W68" s="40"/>
      <c r="X68" s="40"/>
      <c r="Y68" s="40"/>
      <c r="Z68" s="40"/>
      <c r="AA68" s="40"/>
    </row>
    <row r="69" spans="1:27" x14ac:dyDescent="0.25">
      <c r="A69" s="6"/>
      <c r="B69" s="218"/>
      <c r="C69" s="219"/>
      <c r="D69" s="6"/>
      <c r="E69" s="6"/>
      <c r="F69" s="6"/>
      <c r="G69" s="6"/>
      <c r="H69" s="6"/>
      <c r="I69" s="6"/>
      <c r="J69" s="220"/>
      <c r="K69" s="6"/>
      <c r="O69" s="83"/>
    </row>
    <row r="70" spans="1:27" x14ac:dyDescent="0.25">
      <c r="A70" s="6"/>
      <c r="B70" s="218"/>
      <c r="C70" s="219"/>
      <c r="D70" s="6"/>
      <c r="E70" s="6"/>
      <c r="F70" s="6"/>
      <c r="G70" s="6"/>
      <c r="H70" s="6"/>
      <c r="I70" s="6"/>
      <c r="J70" s="220"/>
      <c r="K70" s="6"/>
      <c r="O70" s="83"/>
    </row>
    <row r="71" spans="1:27" x14ac:dyDescent="0.25">
      <c r="A71" s="6"/>
      <c r="B71" s="218"/>
      <c r="C71" s="219"/>
      <c r="D71" s="6"/>
      <c r="E71" s="6"/>
      <c r="F71" s="6"/>
      <c r="G71" s="6"/>
      <c r="H71" s="6"/>
      <c r="I71" s="6"/>
      <c r="J71" s="220"/>
      <c r="K71" s="6"/>
      <c r="O71" s="83"/>
    </row>
    <row r="72" spans="1:27" x14ac:dyDescent="0.25">
      <c r="A72" s="6"/>
      <c r="B72" s="218"/>
      <c r="C72" s="219"/>
      <c r="D72" s="6"/>
      <c r="E72" s="6"/>
      <c r="F72" s="6"/>
      <c r="G72" s="6"/>
      <c r="H72" s="6"/>
      <c r="I72" s="6"/>
      <c r="J72" s="220"/>
      <c r="K72" s="6"/>
      <c r="O72" s="83"/>
    </row>
    <row r="73" spans="1:27" x14ac:dyDescent="0.25">
      <c r="A73" s="6"/>
      <c r="B73" s="218"/>
      <c r="C73" s="219"/>
      <c r="D73" s="6"/>
      <c r="E73" s="6"/>
      <c r="F73" s="6"/>
      <c r="G73" s="6"/>
      <c r="H73" s="6"/>
      <c r="I73" s="6"/>
      <c r="J73" s="220"/>
      <c r="K73" s="6"/>
      <c r="O73" s="83"/>
    </row>
    <row r="74" spans="1:27" x14ac:dyDescent="0.25">
      <c r="A74" s="6"/>
      <c r="B74" s="218"/>
      <c r="C74" s="219"/>
      <c r="D74" s="6"/>
      <c r="E74" s="6"/>
      <c r="F74" s="6"/>
      <c r="G74" s="6"/>
      <c r="H74" s="6"/>
      <c r="I74" s="6"/>
      <c r="J74" s="220"/>
      <c r="K74" s="6"/>
      <c r="O74" s="83"/>
    </row>
    <row r="75" spans="1:27" x14ac:dyDescent="0.25">
      <c r="A75" s="6"/>
      <c r="B75" s="218"/>
      <c r="C75" s="219"/>
      <c r="D75" s="6"/>
      <c r="E75" s="6"/>
      <c r="F75" s="6"/>
      <c r="G75" s="6"/>
      <c r="H75" s="6"/>
      <c r="I75" s="6"/>
      <c r="J75" s="220"/>
      <c r="K75" s="6"/>
      <c r="O75" s="83"/>
    </row>
    <row r="76" spans="1:27" x14ac:dyDescent="0.25">
      <c r="A76" s="6"/>
      <c r="B76" s="218"/>
      <c r="C76" s="219"/>
      <c r="D76" s="6"/>
      <c r="E76" s="6"/>
      <c r="F76" s="6"/>
      <c r="G76" s="6"/>
      <c r="H76" s="6"/>
      <c r="I76" s="6"/>
      <c r="J76" s="220"/>
      <c r="K76" s="6"/>
      <c r="O76" s="83"/>
    </row>
    <row r="77" spans="1:27" x14ac:dyDescent="0.25">
      <c r="A77" s="6"/>
      <c r="B77" s="218"/>
      <c r="C77" s="219"/>
      <c r="D77" s="6"/>
      <c r="E77" s="6"/>
      <c r="F77" s="6"/>
      <c r="G77" s="6"/>
      <c r="H77" s="6"/>
      <c r="I77" s="6"/>
      <c r="J77" s="220"/>
      <c r="K77" s="6"/>
      <c r="O77" s="83"/>
    </row>
    <row r="78" spans="1:27" x14ac:dyDescent="0.25">
      <c r="A78" s="6"/>
      <c r="B78" s="218"/>
      <c r="C78" s="219"/>
      <c r="D78" s="6"/>
      <c r="E78" s="6"/>
      <c r="F78" s="6"/>
      <c r="G78" s="6"/>
      <c r="H78" s="6"/>
      <c r="I78" s="6"/>
      <c r="J78" s="220"/>
      <c r="K78" s="6"/>
      <c r="O78" s="83"/>
    </row>
    <row r="79" spans="1:27" x14ac:dyDescent="0.25">
      <c r="A79" s="6"/>
      <c r="B79" s="218"/>
      <c r="C79" s="219"/>
      <c r="D79" s="6"/>
      <c r="E79" s="6"/>
      <c r="F79" s="6"/>
      <c r="G79" s="6"/>
      <c r="H79" s="6"/>
      <c r="I79" s="6"/>
      <c r="J79" s="220"/>
      <c r="K79" s="6"/>
      <c r="O79" s="83"/>
    </row>
    <row r="80" spans="1:27" x14ac:dyDescent="0.25">
      <c r="A80" s="6"/>
      <c r="B80" s="218"/>
      <c r="C80" s="219"/>
      <c r="D80" s="6"/>
      <c r="E80" s="6"/>
      <c r="F80" s="6"/>
      <c r="G80" s="6"/>
      <c r="H80" s="6"/>
      <c r="I80" s="6"/>
      <c r="J80" s="220"/>
      <c r="K80" s="6"/>
      <c r="O80" s="83"/>
    </row>
    <row r="81" spans="1:15" x14ac:dyDescent="0.25">
      <c r="A81" s="6"/>
      <c r="B81" s="218"/>
      <c r="C81" s="219"/>
      <c r="D81" s="6"/>
      <c r="E81" s="6"/>
      <c r="F81" s="6"/>
      <c r="G81" s="6"/>
      <c r="H81" s="6"/>
      <c r="I81" s="6"/>
      <c r="J81" s="6"/>
      <c r="K81" s="6"/>
      <c r="O81" s="83"/>
    </row>
    <row r="82" spans="1:15" x14ac:dyDescent="0.25">
      <c r="O82" s="83"/>
    </row>
    <row r="83" spans="1:15" x14ac:dyDescent="0.25">
      <c r="O83" s="83"/>
    </row>
    <row r="84" spans="1:15" x14ac:dyDescent="0.25">
      <c r="O84" s="83"/>
    </row>
    <row r="85" spans="1:15" x14ac:dyDescent="0.25">
      <c r="O85" s="83"/>
    </row>
    <row r="86" spans="1:15" x14ac:dyDescent="0.25">
      <c r="O86" s="83"/>
    </row>
    <row r="87" spans="1:15" x14ac:dyDescent="0.25">
      <c r="O87" s="83"/>
    </row>
    <row r="88" spans="1:15" x14ac:dyDescent="0.25">
      <c r="O88" s="83"/>
    </row>
    <row r="89" spans="1:15" x14ac:dyDescent="0.25">
      <c r="O89" s="83"/>
    </row>
    <row r="90" spans="1:15" x14ac:dyDescent="0.25">
      <c r="O90" s="83"/>
    </row>
    <row r="91" spans="1:15" x14ac:dyDescent="0.25">
      <c r="O91" s="83"/>
    </row>
    <row r="92" spans="1:15" x14ac:dyDescent="0.25">
      <c r="O92" s="83"/>
    </row>
    <row r="93" spans="1:15" x14ac:dyDescent="0.25">
      <c r="O93" s="83"/>
    </row>
    <row r="94" spans="1:15" x14ac:dyDescent="0.25">
      <c r="O94" s="83"/>
    </row>
    <row r="95" spans="1:15" x14ac:dyDescent="0.25">
      <c r="O95" s="83"/>
    </row>
    <row r="96" spans="1:15" x14ac:dyDescent="0.25">
      <c r="O96" s="83"/>
    </row>
    <row r="97" spans="15:15" x14ac:dyDescent="0.25">
      <c r="O97" s="83"/>
    </row>
    <row r="98" spans="15:15" x14ac:dyDescent="0.25">
      <c r="O98" s="83"/>
    </row>
    <row r="99" spans="15:15" x14ac:dyDescent="0.25">
      <c r="O99" s="83"/>
    </row>
    <row r="100" spans="15:15" x14ac:dyDescent="0.25">
      <c r="O100" s="83"/>
    </row>
    <row r="101" spans="15:15" x14ac:dyDescent="0.25">
      <c r="O101" s="83"/>
    </row>
    <row r="102" spans="15:15" x14ac:dyDescent="0.25">
      <c r="O102" s="83"/>
    </row>
    <row r="103" spans="15:15" x14ac:dyDescent="0.25">
      <c r="O103" s="83"/>
    </row>
    <row r="104" spans="15:15" x14ac:dyDescent="0.25">
      <c r="O104" s="83"/>
    </row>
    <row r="105" spans="15:15" x14ac:dyDescent="0.25">
      <c r="O105" s="83"/>
    </row>
    <row r="106" spans="15:15" x14ac:dyDescent="0.25">
      <c r="O106" s="83"/>
    </row>
    <row r="107" spans="15:15" x14ac:dyDescent="0.25">
      <c r="O107" s="83"/>
    </row>
    <row r="108" spans="15:15" x14ac:dyDescent="0.25">
      <c r="O108" s="83"/>
    </row>
    <row r="109" spans="15:15" x14ac:dyDescent="0.25">
      <c r="O109" s="83"/>
    </row>
    <row r="110" spans="15:15" x14ac:dyDescent="0.25">
      <c r="O110" s="83"/>
    </row>
    <row r="111" spans="15:15" x14ac:dyDescent="0.25">
      <c r="O111" s="83"/>
    </row>
    <row r="112" spans="15:15" x14ac:dyDescent="0.25">
      <c r="O112" s="83"/>
    </row>
    <row r="113" spans="15:15" x14ac:dyDescent="0.25">
      <c r="O113" s="83"/>
    </row>
    <row r="114" spans="15:15" x14ac:dyDescent="0.25">
      <c r="O114" s="83"/>
    </row>
    <row r="115" spans="15:15" x14ac:dyDescent="0.25">
      <c r="O115" s="83"/>
    </row>
    <row r="116" spans="15:15" x14ac:dyDescent="0.25">
      <c r="O116" s="83"/>
    </row>
    <row r="117" spans="15:15" x14ac:dyDescent="0.25">
      <c r="O117" s="83"/>
    </row>
    <row r="118" spans="15:15" x14ac:dyDescent="0.25">
      <c r="O118" s="83"/>
    </row>
    <row r="119" spans="15:15" x14ac:dyDescent="0.25">
      <c r="O119" s="83"/>
    </row>
    <row r="120" spans="15:15" x14ac:dyDescent="0.25">
      <c r="O120" s="83"/>
    </row>
  </sheetData>
  <autoFilter ref="A7:AG67"/>
  <mergeCells count="18">
    <mergeCell ref="D2:I2"/>
    <mergeCell ref="J2:O2"/>
    <mergeCell ref="P2:U2"/>
    <mergeCell ref="V2:AA2"/>
    <mergeCell ref="D4:I4"/>
    <mergeCell ref="V4:AA4"/>
    <mergeCell ref="A5:A6"/>
    <mergeCell ref="B5:B6"/>
    <mergeCell ref="C5:C6"/>
    <mergeCell ref="D5:I5"/>
    <mergeCell ref="J5:O5"/>
    <mergeCell ref="V5:AA5"/>
    <mergeCell ref="D28:I28"/>
    <mergeCell ref="J28:O28"/>
    <mergeCell ref="P28:U28"/>
    <mergeCell ref="D49:I49"/>
    <mergeCell ref="J49:M49"/>
    <mergeCell ref="P5:U5"/>
  </mergeCell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50"/>
  <sheetViews>
    <sheetView showGridLines="0" workbookViewId="0">
      <selection activeCell="A2" sqref="A2"/>
    </sheetView>
  </sheetViews>
  <sheetFormatPr defaultRowHeight="12" x14ac:dyDescent="0.25"/>
  <cols>
    <col min="1" max="1" width="24.140625" customWidth="1"/>
  </cols>
  <sheetData>
    <row r="1" spans="1:16" ht="14.4" x14ac:dyDescent="0.25">
      <c r="A1" s="80" t="s">
        <v>39</v>
      </c>
      <c r="B1" s="46"/>
      <c r="C1" s="46"/>
      <c r="D1" s="46"/>
      <c r="E1" s="46"/>
      <c r="F1" s="46"/>
      <c r="G1" s="46"/>
      <c r="H1" s="4"/>
      <c r="I1" s="4"/>
      <c r="J1" s="4"/>
      <c r="K1" s="6"/>
      <c r="L1" s="4"/>
      <c r="M1" s="4"/>
      <c r="N1" s="4"/>
      <c r="O1" s="4"/>
      <c r="P1" s="4"/>
    </row>
    <row r="2" spans="1:16" x14ac:dyDescent="0.25">
      <c r="A2" s="304" t="s">
        <v>267</v>
      </c>
      <c r="B2" s="4"/>
      <c r="C2" s="4"/>
      <c r="D2" s="4"/>
      <c r="E2" s="4"/>
      <c r="F2" s="4"/>
      <c r="G2" s="4"/>
      <c r="H2" s="4"/>
      <c r="I2" s="4"/>
      <c r="J2" s="4"/>
      <c r="K2" s="6"/>
      <c r="L2" s="4"/>
      <c r="M2" s="4"/>
      <c r="N2" s="4"/>
      <c r="O2" s="4"/>
      <c r="P2" s="4"/>
    </row>
    <row r="3" spans="1:16" x14ac:dyDescent="0.25">
      <c r="A3" s="5"/>
      <c r="B3" s="4"/>
      <c r="C3" s="4"/>
      <c r="D3" s="4"/>
      <c r="E3" s="4"/>
      <c r="F3" s="4"/>
      <c r="G3" s="4"/>
      <c r="H3" s="4"/>
      <c r="I3" s="4"/>
      <c r="J3" s="4"/>
      <c r="K3" s="6"/>
      <c r="L3" s="4"/>
      <c r="M3" s="4"/>
      <c r="N3" s="4"/>
      <c r="O3" s="4"/>
      <c r="P3" s="4"/>
    </row>
    <row r="4" spans="1:16" ht="40.799999999999997" x14ac:dyDescent="0.25">
      <c r="A4" s="90" t="s">
        <v>11</v>
      </c>
      <c r="B4" s="47" t="s">
        <v>42</v>
      </c>
      <c r="C4" s="211" t="s">
        <v>10</v>
      </c>
      <c r="D4" s="338" t="s">
        <v>43</v>
      </c>
      <c r="E4" s="339"/>
      <c r="F4" s="338" t="s">
        <v>44</v>
      </c>
      <c r="G4" s="339"/>
      <c r="H4" s="49"/>
      <c r="I4" s="49"/>
      <c r="J4" s="49"/>
      <c r="K4" s="50"/>
      <c r="L4" s="49"/>
      <c r="M4" s="49"/>
      <c r="N4" s="49"/>
      <c r="O4" s="49"/>
      <c r="P4" s="49"/>
    </row>
    <row r="5" spans="1:16" ht="24" x14ac:dyDescent="0.25">
      <c r="A5" s="51"/>
      <c r="B5" s="91" t="s">
        <v>11</v>
      </c>
      <c r="C5" s="52" t="s">
        <v>45</v>
      </c>
      <c r="D5" s="53" t="s">
        <v>8</v>
      </c>
      <c r="E5" s="53" t="s">
        <v>45</v>
      </c>
      <c r="F5" s="53" t="s">
        <v>8</v>
      </c>
      <c r="G5" s="53" t="s">
        <v>45</v>
      </c>
      <c r="H5" s="54"/>
      <c r="I5" s="54"/>
      <c r="J5" s="54"/>
      <c r="K5" s="55"/>
      <c r="L5" s="54"/>
      <c r="M5" s="54"/>
      <c r="N5" s="54"/>
      <c r="O5" s="54"/>
      <c r="P5" s="54"/>
    </row>
    <row r="6" spans="1:16" x14ac:dyDescent="0.25">
      <c r="A6" s="86" t="s">
        <v>14</v>
      </c>
      <c r="B6" s="56">
        <f>+G6-F6</f>
        <v>13.647214864375023</v>
      </c>
      <c r="C6" s="56">
        <f>+'GVA-productivity2'!S$30</f>
        <v>0.43768471457958169</v>
      </c>
      <c r="D6" s="34">
        <f>+'GVA-productivity2'!R$8</f>
        <v>15506.283655693596</v>
      </c>
      <c r="E6" s="34">
        <f>+'GVA-productivity2'!S$8</f>
        <v>25252.326771848402</v>
      </c>
      <c r="F6" s="56">
        <f t="shared" ref="F6:F16" si="0">(+D6/D$16)*100</f>
        <v>50.038926942094186</v>
      </c>
      <c r="G6" s="56">
        <f t="shared" ref="G6:G16" si="1">(+E6/E$16)*100</f>
        <v>63.686141806469209</v>
      </c>
      <c r="H6" s="4"/>
      <c r="I6" s="4"/>
      <c r="J6" s="4"/>
      <c r="K6" s="6"/>
      <c r="L6" s="4"/>
      <c r="M6" s="4"/>
      <c r="N6" s="4"/>
      <c r="O6" s="4"/>
      <c r="P6" s="4"/>
    </row>
    <row r="7" spans="1:16" x14ac:dyDescent="0.25">
      <c r="A7" s="239" t="s">
        <v>19</v>
      </c>
      <c r="B7" s="240">
        <f>+G7-F7</f>
        <v>-0.3190629513302326</v>
      </c>
      <c r="C7" s="240">
        <f>+'GVA-productivity2'!S$32</f>
        <v>714.70715184529945</v>
      </c>
      <c r="D7" s="241">
        <f>+'GVA-productivity2'!R$10</f>
        <v>120.94515752299444</v>
      </c>
      <c r="E7" s="241">
        <f>+'GVA-productivity2'!S$10</f>
        <v>28.24285957057711</v>
      </c>
      <c r="F7" s="240">
        <f t="shared" si="0"/>
        <v>0.39029119005384832</v>
      </c>
      <c r="G7" s="240">
        <f t="shared" si="1"/>
        <v>7.1228238723615708E-2</v>
      </c>
      <c r="H7" s="36" t="s">
        <v>111</v>
      </c>
      <c r="I7" s="36"/>
      <c r="J7" s="36"/>
      <c r="K7" s="42"/>
      <c r="L7" s="36"/>
      <c r="M7" s="36"/>
      <c r="N7" s="36"/>
      <c r="O7" s="36"/>
      <c r="P7" s="36"/>
    </row>
    <row r="8" spans="1:16" x14ac:dyDescent="0.25">
      <c r="A8" s="86" t="s">
        <v>20</v>
      </c>
      <c r="B8" s="56">
        <f t="shared" ref="B8:B16" si="2">+G8-F8</f>
        <v>-1.3372701001196172</v>
      </c>
      <c r="C8" s="56">
        <f>+'GVA-productivity2'!S$33</f>
        <v>0.98354124285678746</v>
      </c>
      <c r="D8" s="34">
        <f>+'GVA-productivity2'!R$11</f>
        <v>1376.2574780680116</v>
      </c>
      <c r="E8" s="34">
        <f>+'GVA-productivity2'!S$11</f>
        <v>1230.7442854796543</v>
      </c>
      <c r="F8" s="56">
        <f t="shared" si="0"/>
        <v>4.4411961581310067</v>
      </c>
      <c r="G8" s="56">
        <f t="shared" si="1"/>
        <v>3.1039260580113894</v>
      </c>
      <c r="H8" s="4"/>
      <c r="I8" s="4"/>
      <c r="J8" s="4"/>
      <c r="K8" s="6"/>
      <c r="L8" s="4"/>
      <c r="M8" s="4"/>
      <c r="N8" s="4"/>
      <c r="O8" s="4"/>
      <c r="P8" s="4"/>
    </row>
    <row r="9" spans="1:16" x14ac:dyDescent="0.25">
      <c r="A9" s="86" t="s">
        <v>21</v>
      </c>
      <c r="B9" s="56">
        <f t="shared" si="2"/>
        <v>-0.17606680565369859</v>
      </c>
      <c r="C9" s="56">
        <f>+'GVA-productivity2'!S$34</f>
        <v>0.4565227642268041</v>
      </c>
      <c r="D9" s="34">
        <f>+'GVA-productivity2'!R$12</f>
        <v>139.55628929749633</v>
      </c>
      <c r="E9" s="34">
        <f>+'GVA-productivity2'!S$12</f>
        <v>108.75640795067596</v>
      </c>
      <c r="F9" s="56">
        <f t="shared" si="0"/>
        <v>0.45034949182701633</v>
      </c>
      <c r="G9" s="56">
        <f t="shared" si="1"/>
        <v>0.27428268617331775</v>
      </c>
      <c r="H9" s="4"/>
      <c r="I9" s="4"/>
      <c r="J9" s="4"/>
      <c r="K9" s="6"/>
      <c r="L9" s="4"/>
      <c r="M9" s="4"/>
      <c r="N9" s="4"/>
      <c r="O9" s="4"/>
      <c r="P9" s="4"/>
    </row>
    <row r="10" spans="1:16" x14ac:dyDescent="0.25">
      <c r="A10" s="86" t="s">
        <v>22</v>
      </c>
      <c r="B10" s="56">
        <f t="shared" si="2"/>
        <v>-0.38287493816638385</v>
      </c>
      <c r="C10" s="56">
        <f>+'GVA-productivity2'!S$35</f>
        <v>2.5535508913515761</v>
      </c>
      <c r="D10" s="34">
        <f>+'GVA-productivity2'!R$13</f>
        <v>336.17236131346959</v>
      </c>
      <c r="E10" s="34">
        <f>+'GVA-productivity2'!S$13</f>
        <v>278.33426217352337</v>
      </c>
      <c r="F10" s="56">
        <f t="shared" si="0"/>
        <v>1.0848314529277556</v>
      </c>
      <c r="G10" s="56">
        <f t="shared" si="1"/>
        <v>0.70195651476137177</v>
      </c>
      <c r="H10" s="4"/>
      <c r="I10" s="4"/>
      <c r="J10" s="4"/>
      <c r="K10" s="6"/>
      <c r="L10" s="4"/>
      <c r="M10" s="4"/>
      <c r="N10" s="4"/>
      <c r="O10" s="4"/>
      <c r="P10" s="4"/>
    </row>
    <row r="11" spans="1:16" x14ac:dyDescent="0.25">
      <c r="A11" s="87" t="s">
        <v>25</v>
      </c>
      <c r="B11" s="56">
        <f t="shared" si="2"/>
        <v>-8.039191836841848</v>
      </c>
      <c r="C11" s="56">
        <f>+'GVA-productivity2'!S$39</f>
        <v>0.62576111616356134</v>
      </c>
      <c r="D11" s="34">
        <f>+'GVA-productivity2'!R$17</f>
        <v>8342.4645464118257</v>
      </c>
      <c r="E11" s="34">
        <f>+'GVA-productivity2'!S$17</f>
        <v>7486.950368890276</v>
      </c>
      <c r="F11" s="56">
        <f t="shared" si="0"/>
        <v>26.921213568902679</v>
      </c>
      <c r="G11" s="56">
        <f t="shared" si="1"/>
        <v>18.882021732060831</v>
      </c>
      <c r="H11" s="4"/>
      <c r="I11" s="4"/>
      <c r="J11" s="4"/>
      <c r="K11" s="6"/>
      <c r="L11" s="4"/>
      <c r="M11" s="4"/>
      <c r="N11" s="4"/>
      <c r="O11" s="4"/>
      <c r="P11" s="4"/>
    </row>
    <row r="12" spans="1:16" x14ac:dyDescent="0.25">
      <c r="A12" s="87" t="s">
        <v>26</v>
      </c>
      <c r="B12" s="56">
        <f t="shared" si="2"/>
        <v>-1.011850946462685</v>
      </c>
      <c r="C12" s="56">
        <f>+'GVA-productivity2'!S$40</f>
        <v>0.32823822277377968</v>
      </c>
      <c r="D12" s="34">
        <f>+'GVA-productivity2'!R$18</f>
        <v>982.99476349395752</v>
      </c>
      <c r="E12" s="34">
        <f>+'GVA-productivity2'!S$18</f>
        <v>856.57823739618379</v>
      </c>
      <c r="F12" s="56">
        <f t="shared" si="0"/>
        <v>3.1721335844952412</v>
      </c>
      <c r="G12" s="56">
        <f t="shared" si="1"/>
        <v>2.1602826380325562</v>
      </c>
      <c r="H12" s="4"/>
      <c r="I12" s="4"/>
      <c r="J12" s="4"/>
      <c r="K12" s="6"/>
      <c r="L12" s="4"/>
      <c r="M12" s="4"/>
      <c r="N12" s="4"/>
      <c r="O12" s="4"/>
      <c r="P12" s="4"/>
    </row>
    <row r="13" spans="1:16" x14ac:dyDescent="0.25">
      <c r="A13" s="87" t="s">
        <v>46</v>
      </c>
      <c r="B13" s="56">
        <f t="shared" si="2"/>
        <v>-0.17168706543447798</v>
      </c>
      <c r="C13" s="56">
        <f>+'GVA-productivity2'!S$42</f>
        <v>2.5065203136117393</v>
      </c>
      <c r="D13" s="34">
        <f>+'GVA-productivity2'!R20</f>
        <v>248.2750370479543</v>
      </c>
      <c r="E13" s="34">
        <f>+'GVA-productivity2'!S20</f>
        <v>249.60392986656524</v>
      </c>
      <c r="F13" s="56">
        <f t="shared" si="0"/>
        <v>0.80118593959982687</v>
      </c>
      <c r="G13" s="56">
        <f t="shared" si="1"/>
        <v>0.62949887416534889</v>
      </c>
      <c r="H13" s="4"/>
      <c r="I13" s="4"/>
      <c r="J13" s="4"/>
      <c r="K13" s="6"/>
      <c r="L13" s="4"/>
      <c r="M13" s="4"/>
      <c r="N13" s="4"/>
      <c r="O13" s="4"/>
      <c r="P13" s="4"/>
    </row>
    <row r="14" spans="1:16" x14ac:dyDescent="0.25">
      <c r="A14" s="86" t="s">
        <v>47</v>
      </c>
      <c r="B14" s="56">
        <f t="shared" si="2"/>
        <v>-2.069740437079961</v>
      </c>
      <c r="C14" s="56">
        <f>+'GVA-productivity2'!S$44</f>
        <v>0.2906237684558633</v>
      </c>
      <c r="D14" s="34">
        <f>+'GVA-productivity2'!R$22</f>
        <v>1944.4728725899633</v>
      </c>
      <c r="E14" s="34">
        <f>+'GVA-productivity2'!S$22</f>
        <v>1667.3700331579614</v>
      </c>
      <c r="F14" s="56">
        <f t="shared" si="0"/>
        <v>6.2748327176826049</v>
      </c>
      <c r="G14" s="56">
        <f t="shared" si="1"/>
        <v>4.2050922806026438</v>
      </c>
      <c r="H14" s="4"/>
      <c r="I14" s="4"/>
      <c r="J14" s="4"/>
      <c r="K14" s="6"/>
      <c r="L14" s="4"/>
      <c r="M14" s="4"/>
      <c r="N14" s="4"/>
      <c r="O14" s="4"/>
      <c r="P14" s="4"/>
    </row>
    <row r="15" spans="1:16" x14ac:dyDescent="0.25">
      <c r="A15" s="87" t="s">
        <v>34</v>
      </c>
      <c r="B15" s="56">
        <f t="shared" si="2"/>
        <v>-0.13946978328613291</v>
      </c>
      <c r="C15" s="56">
        <f>+'GVA-productivity2'!S$45</f>
        <v>0.14684533263653782</v>
      </c>
      <c r="D15" s="34">
        <f>+'GVA-productivity2'!R$23</f>
        <v>1991.0194445082504</v>
      </c>
      <c r="E15" s="34">
        <f>+'GVA-productivity2'!S$23</f>
        <v>2492.304324785111</v>
      </c>
      <c r="F15" s="56">
        <f t="shared" si="0"/>
        <v>6.4250389542858475</v>
      </c>
      <c r="G15" s="56">
        <f t="shared" si="1"/>
        <v>6.2855691709997146</v>
      </c>
      <c r="H15" s="4"/>
      <c r="I15" s="4"/>
      <c r="J15" s="4"/>
      <c r="K15" s="6"/>
      <c r="L15" s="4"/>
      <c r="M15" s="4"/>
      <c r="N15" s="4"/>
      <c r="O15" s="4"/>
      <c r="P15" s="4"/>
    </row>
    <row r="16" spans="1:16" x14ac:dyDescent="0.25">
      <c r="A16" s="88" t="s">
        <v>48</v>
      </c>
      <c r="B16" s="57">
        <f t="shared" si="2"/>
        <v>0</v>
      </c>
      <c r="C16" s="58">
        <f>+'GVA-productivity2'!S47</f>
        <v>723.03644021195555</v>
      </c>
      <c r="D16" s="34">
        <f>+'GVA-productivity2'!R24</f>
        <v>30988.441605947515</v>
      </c>
      <c r="E16" s="34">
        <f>+'GVA-productivity2'!S24</f>
        <v>39651.211481118931</v>
      </c>
      <c r="F16" s="56">
        <f t="shared" si="0"/>
        <v>100</v>
      </c>
      <c r="G16" s="56">
        <f t="shared" si="1"/>
        <v>100</v>
      </c>
      <c r="H16" s="9"/>
      <c r="I16" s="9"/>
      <c r="J16" s="9"/>
      <c r="K16" s="10"/>
      <c r="L16" s="9"/>
      <c r="M16" s="9"/>
      <c r="N16" s="9"/>
      <c r="O16" s="9"/>
      <c r="P16" s="9"/>
    </row>
    <row r="17" spans="1:16" x14ac:dyDescent="0.25">
      <c r="A17" s="59" t="s">
        <v>49</v>
      </c>
      <c r="B17" s="61">
        <f t="shared" ref="B17:G17" si="3">SUM(B6:B15)</f>
        <v>-1.5987211554602254E-14</v>
      </c>
      <c r="C17" s="61">
        <f t="shared" si="3"/>
        <v>723.03644021195555</v>
      </c>
      <c r="D17" s="62">
        <f t="shared" si="3"/>
        <v>30988.441605947515</v>
      </c>
      <c r="E17" s="62">
        <f t="shared" si="3"/>
        <v>39651.211481118931</v>
      </c>
      <c r="F17" s="63">
        <f t="shared" si="3"/>
        <v>100.00000000000003</v>
      </c>
      <c r="G17" s="63">
        <f t="shared" si="3"/>
        <v>100</v>
      </c>
      <c r="H17" s="36"/>
      <c r="I17" s="36"/>
      <c r="J17" s="36"/>
      <c r="K17" s="42"/>
      <c r="L17" s="36"/>
      <c r="M17" s="36"/>
      <c r="N17" s="36"/>
      <c r="O17" s="36"/>
      <c r="P17" s="36"/>
    </row>
    <row r="19" spans="1:16" x14ac:dyDescent="0.25">
      <c r="A19" s="4"/>
      <c r="B19" s="72"/>
      <c r="C19" s="4"/>
      <c r="D19" s="75"/>
      <c r="E19" s="4"/>
      <c r="F19" s="4"/>
      <c r="G19" s="4"/>
      <c r="H19" s="4"/>
      <c r="I19" s="4"/>
      <c r="J19" s="4"/>
      <c r="K19" s="6"/>
      <c r="L19" s="4"/>
      <c r="M19" s="4"/>
      <c r="N19" s="4"/>
      <c r="O19" s="4"/>
      <c r="P19" s="4"/>
    </row>
    <row r="20" spans="1:16" ht="40.799999999999997" x14ac:dyDescent="0.25">
      <c r="A20" s="90" t="s">
        <v>12</v>
      </c>
      <c r="B20" s="47" t="s">
        <v>42</v>
      </c>
      <c r="C20" s="211" t="s">
        <v>10</v>
      </c>
      <c r="D20" s="339" t="s">
        <v>43</v>
      </c>
      <c r="E20" s="339"/>
      <c r="F20" s="339" t="s">
        <v>44</v>
      </c>
      <c r="G20" s="339"/>
      <c r="H20" s="4"/>
      <c r="I20" s="4"/>
      <c r="J20" s="4"/>
      <c r="K20" s="6"/>
      <c r="L20" s="4"/>
      <c r="M20" s="4"/>
      <c r="N20" s="4"/>
      <c r="O20" s="4"/>
      <c r="P20" s="4"/>
    </row>
    <row r="21" spans="1:16" x14ac:dyDescent="0.25">
      <c r="A21" s="51"/>
      <c r="B21" s="52" t="s">
        <v>12</v>
      </c>
      <c r="C21" s="52">
        <v>2005</v>
      </c>
      <c r="D21" s="53">
        <v>2000</v>
      </c>
      <c r="E21" s="53">
        <v>2005</v>
      </c>
      <c r="F21" s="53">
        <v>2000</v>
      </c>
      <c r="G21" s="53">
        <v>2005</v>
      </c>
      <c r="H21" s="4"/>
      <c r="I21" s="4"/>
      <c r="J21" s="4"/>
      <c r="K21" s="6"/>
      <c r="L21" s="4"/>
      <c r="M21" s="4"/>
      <c r="N21" s="4"/>
      <c r="O21" s="4"/>
      <c r="P21" s="4"/>
    </row>
    <row r="22" spans="1:16" x14ac:dyDescent="0.25">
      <c r="A22" s="86" t="s">
        <v>14</v>
      </c>
      <c r="B22" s="56">
        <f>+G22-F22</f>
        <v>-1.2764549950899777</v>
      </c>
      <c r="C22" s="56">
        <f>+'GVA-productivity2'!T$30</f>
        <v>0.56369652529072545</v>
      </c>
      <c r="D22" s="34">
        <f>+'GVA-productivity2'!S$8</f>
        <v>25252.326771848402</v>
      </c>
      <c r="E22" s="34">
        <f>+'GVA-productivity2'!T$8</f>
        <v>28151.968488942326</v>
      </c>
      <c r="F22" s="56">
        <f t="shared" ref="F22:G32" si="4">(+D22/D$32)*100</f>
        <v>63.686141806469209</v>
      </c>
      <c r="G22" s="56">
        <f t="shared" si="4"/>
        <v>62.409686811379231</v>
      </c>
      <c r="H22" s="4"/>
      <c r="I22" s="4"/>
      <c r="J22" s="4"/>
      <c r="K22" s="6"/>
      <c r="L22" s="4"/>
      <c r="M22" s="4"/>
      <c r="N22" s="4"/>
      <c r="O22" s="4"/>
      <c r="P22" s="4"/>
    </row>
    <row r="23" spans="1:16" s="242" customFormat="1" x14ac:dyDescent="0.25">
      <c r="A23" s="239" t="s">
        <v>19</v>
      </c>
      <c r="B23" s="240">
        <f>+G23-F23</f>
        <v>8.1958505207351665E-2</v>
      </c>
      <c r="C23" s="240">
        <f>+'GVA-productivity2'!T$32</f>
        <v>273.31567473644299</v>
      </c>
      <c r="D23" s="241">
        <f>+'GVA-productivity2'!S$10</f>
        <v>28.24285957057711</v>
      </c>
      <c r="E23" s="241">
        <f>+'GVA-productivity2'!T$10</f>
        <v>69.09998444795859</v>
      </c>
      <c r="F23" s="240">
        <f t="shared" ref="F23" si="5">(+D23/D$32)*100</f>
        <v>7.1228238723615708E-2</v>
      </c>
      <c r="G23" s="240">
        <f t="shared" ref="G23" si="6">(+E23/E$32)*100</f>
        <v>0.15318674393096737</v>
      </c>
      <c r="H23" s="36" t="s">
        <v>111</v>
      </c>
      <c r="I23" s="36"/>
      <c r="J23" s="36"/>
      <c r="K23" s="42"/>
      <c r="L23" s="36"/>
      <c r="M23" s="36"/>
      <c r="N23" s="36"/>
      <c r="O23" s="36"/>
      <c r="P23" s="36"/>
    </row>
    <row r="24" spans="1:16" x14ac:dyDescent="0.25">
      <c r="A24" s="86" t="s">
        <v>20</v>
      </c>
      <c r="B24" s="56">
        <f t="shared" ref="B24:B31" si="7">+G24-F24</f>
        <v>0.53921853641774575</v>
      </c>
      <c r="C24" s="56">
        <f>+'GVA-productivity2'!T$33</f>
        <v>0.82252548626434663</v>
      </c>
      <c r="D24" s="34">
        <f>+'GVA-productivity2'!S$11</f>
        <v>1230.7442854796543</v>
      </c>
      <c r="E24" s="34">
        <f>+'GVA-productivity2'!T$11</f>
        <v>1643.3617449964418</v>
      </c>
      <c r="F24" s="56">
        <f t="shared" si="4"/>
        <v>3.1039260580113894</v>
      </c>
      <c r="G24" s="56">
        <f t="shared" si="4"/>
        <v>3.6431445944291352</v>
      </c>
      <c r="H24" s="4"/>
      <c r="I24" s="4"/>
      <c r="J24" s="4"/>
      <c r="K24" s="6"/>
      <c r="L24" s="4"/>
      <c r="M24" s="4"/>
      <c r="N24" s="4"/>
      <c r="O24" s="4"/>
      <c r="P24" s="4"/>
    </row>
    <row r="25" spans="1:16" x14ac:dyDescent="0.25">
      <c r="A25" s="86" t="s">
        <v>21</v>
      </c>
      <c r="B25" s="56">
        <f t="shared" si="7"/>
        <v>3.5927303159255797E-2</v>
      </c>
      <c r="C25" s="56">
        <f>+'GVA-productivity2'!T$34</f>
        <v>0.48618249796775281</v>
      </c>
      <c r="D25" s="34">
        <f>+'GVA-productivity2'!S$12</f>
        <v>108.75640795067596</v>
      </c>
      <c r="E25" s="34">
        <f>+'GVA-productivity2'!T$12</f>
        <v>139.93055070184144</v>
      </c>
      <c r="F25" s="56">
        <f t="shared" si="4"/>
        <v>0.27428268617331775</v>
      </c>
      <c r="G25" s="56">
        <f t="shared" si="4"/>
        <v>0.31020998933257354</v>
      </c>
      <c r="H25" s="4"/>
      <c r="I25" s="4"/>
      <c r="J25" s="4"/>
      <c r="K25" s="6"/>
      <c r="L25" s="4"/>
      <c r="M25" s="4"/>
      <c r="N25" s="4"/>
      <c r="O25" s="4"/>
      <c r="P25" s="4"/>
    </row>
    <row r="26" spans="1:16" x14ac:dyDescent="0.25">
      <c r="A26" s="86" t="s">
        <v>22</v>
      </c>
      <c r="B26" s="56">
        <f t="shared" si="7"/>
        <v>0.21565195370352408</v>
      </c>
      <c r="C26" s="56">
        <f>+'GVA-productivity2'!T$35</f>
        <v>1.6684097614088083</v>
      </c>
      <c r="D26" s="34">
        <f>+'GVA-productivity2'!S$13</f>
        <v>278.33426217352337</v>
      </c>
      <c r="E26" s="34">
        <f>+'GVA-productivity2'!T$13</f>
        <v>413.9178709145566</v>
      </c>
      <c r="F26" s="56">
        <f t="shared" si="4"/>
        <v>0.70195651476137177</v>
      </c>
      <c r="G26" s="56">
        <f t="shared" si="4"/>
        <v>0.91760846846489585</v>
      </c>
      <c r="H26" s="4"/>
      <c r="I26" s="4"/>
      <c r="J26" s="4"/>
      <c r="K26" s="6"/>
      <c r="L26" s="4"/>
      <c r="M26" s="4"/>
      <c r="N26" s="4"/>
      <c r="O26" s="4"/>
      <c r="P26" s="4"/>
    </row>
    <row r="27" spans="1:16" x14ac:dyDescent="0.25">
      <c r="A27" s="87" t="s">
        <v>25</v>
      </c>
      <c r="B27" s="56">
        <f t="shared" si="7"/>
        <v>-1.1845180468648877</v>
      </c>
      <c r="C27" s="56">
        <f>+'GVA-productivity2'!T$39</f>
        <v>0.77791672474836315</v>
      </c>
      <c r="D27" s="34">
        <f>+'GVA-productivity2'!S$17</f>
        <v>7486.950368890276</v>
      </c>
      <c r="E27" s="34">
        <f>+'GVA-productivity2'!T$17</f>
        <v>7983.0486505139115</v>
      </c>
      <c r="F27" s="56">
        <f t="shared" si="4"/>
        <v>18.882021732060831</v>
      </c>
      <c r="G27" s="56">
        <f t="shared" si="4"/>
        <v>17.697503685195944</v>
      </c>
      <c r="H27" s="4"/>
      <c r="I27" s="4"/>
      <c r="J27" s="4"/>
      <c r="K27" s="6"/>
      <c r="L27" s="4"/>
      <c r="M27" s="4"/>
      <c r="N27" s="4"/>
      <c r="O27" s="4"/>
      <c r="P27" s="4"/>
    </row>
    <row r="28" spans="1:16" x14ac:dyDescent="0.25">
      <c r="A28" s="87" t="s">
        <v>26</v>
      </c>
      <c r="B28" s="56">
        <f t="shared" si="7"/>
        <v>0.65994261996806935</v>
      </c>
      <c r="C28" s="56">
        <f>+'GVA-productivity2'!T$40</f>
        <v>0.46540416766084425</v>
      </c>
      <c r="D28" s="34">
        <f>+'GVA-productivity2'!S$18</f>
        <v>856.57823739618379</v>
      </c>
      <c r="E28" s="34">
        <f>+'GVA-productivity2'!T$18</f>
        <v>1272.1565617675346</v>
      </c>
      <c r="F28" s="56">
        <f t="shared" si="4"/>
        <v>2.1602826380325562</v>
      </c>
      <c r="G28" s="56">
        <f t="shared" si="4"/>
        <v>2.8202252580006255</v>
      </c>
      <c r="H28" s="4"/>
      <c r="I28" s="4"/>
      <c r="J28" s="4"/>
      <c r="K28" s="6"/>
      <c r="L28" s="4"/>
      <c r="M28" s="4"/>
      <c r="N28" s="4"/>
      <c r="O28" s="4"/>
      <c r="P28" s="4"/>
    </row>
    <row r="29" spans="1:16" x14ac:dyDescent="0.25">
      <c r="A29" s="87" t="s">
        <v>46</v>
      </c>
      <c r="B29" s="56">
        <f t="shared" si="7"/>
        <v>0.66763592993018017</v>
      </c>
      <c r="C29" s="56">
        <f>+'GVA-productivity2'!T$42</f>
        <v>0.90123275285779447</v>
      </c>
      <c r="D29" s="34">
        <f>+'GVA-productivity2'!S20</f>
        <v>249.60392986656524</v>
      </c>
      <c r="E29" s="34">
        <f>+'GVA-productivity2'!T20</f>
        <v>585.11586897035261</v>
      </c>
      <c r="F29" s="56">
        <f t="shared" si="4"/>
        <v>0.62949887416534889</v>
      </c>
      <c r="G29" s="56">
        <f t="shared" si="4"/>
        <v>1.2971348040955291</v>
      </c>
      <c r="H29" s="4"/>
      <c r="I29" s="4"/>
      <c r="J29" s="4"/>
      <c r="K29" s="6"/>
      <c r="L29" s="4"/>
      <c r="M29" s="4"/>
      <c r="N29" s="4"/>
      <c r="O29" s="4"/>
      <c r="P29" s="4"/>
    </row>
    <row r="30" spans="1:16" x14ac:dyDescent="0.25">
      <c r="A30" s="86" t="s">
        <v>47</v>
      </c>
      <c r="B30" s="56">
        <f t="shared" si="7"/>
        <v>7.2247067534729759E-2</v>
      </c>
      <c r="C30" s="56">
        <f>+'GVA-productivity2'!T$44</f>
        <v>0.25540209832600202</v>
      </c>
      <c r="D30" s="34">
        <f>+'GVA-productivity2'!S$22</f>
        <v>1667.3700331579614</v>
      </c>
      <c r="E30" s="34">
        <f>+'GVA-productivity2'!T$22</f>
        <v>1929.4364176062641</v>
      </c>
      <c r="F30" s="56">
        <f t="shared" si="4"/>
        <v>4.2050922806026438</v>
      </c>
      <c r="G30" s="56">
        <f t="shared" si="4"/>
        <v>4.2773393481373736</v>
      </c>
      <c r="H30" s="4"/>
      <c r="I30" s="4"/>
      <c r="J30" s="4"/>
      <c r="K30" s="6"/>
      <c r="L30" s="4"/>
      <c r="M30" s="4"/>
      <c r="N30" s="4"/>
      <c r="O30" s="4"/>
      <c r="P30" s="4"/>
    </row>
    <row r="31" spans="1:16" x14ac:dyDescent="0.25">
      <c r="A31" s="87" t="s">
        <v>34</v>
      </c>
      <c r="B31" s="56">
        <f t="shared" si="7"/>
        <v>0.18839112603402697</v>
      </c>
      <c r="C31" s="56">
        <f>+'GVA-productivity2'!T$45</f>
        <v>0.14396176367864383</v>
      </c>
      <c r="D31" s="34">
        <f>+'GVA-productivity2'!S$23</f>
        <v>2492.304324785111</v>
      </c>
      <c r="E31" s="34">
        <f>+'GVA-productivity2'!T$23</f>
        <v>2920.2954796358131</v>
      </c>
      <c r="F31" s="56">
        <f t="shared" si="4"/>
        <v>6.2855691709997146</v>
      </c>
      <c r="G31" s="56">
        <f t="shared" si="4"/>
        <v>6.4739602970337415</v>
      </c>
      <c r="H31" s="4"/>
      <c r="I31" s="4"/>
      <c r="J31" s="4"/>
      <c r="K31" s="6"/>
      <c r="L31" s="4"/>
      <c r="M31" s="4"/>
      <c r="N31" s="4"/>
      <c r="O31" s="4"/>
      <c r="P31" s="4"/>
    </row>
    <row r="32" spans="1:16" x14ac:dyDescent="0.25">
      <c r="A32" s="88" t="s">
        <v>48</v>
      </c>
      <c r="B32" s="56">
        <f>+G32-F32</f>
        <v>0</v>
      </c>
      <c r="C32" s="58">
        <f>+'GVA-productivity2'!T47</f>
        <v>279.40040651464625</v>
      </c>
      <c r="D32" s="34">
        <f>+'GVA-productivity2'!S24</f>
        <v>39651.211481118931</v>
      </c>
      <c r="E32" s="34">
        <f>+'GVA-productivity2'!T24</f>
        <v>45108.331618496995</v>
      </c>
      <c r="F32" s="56">
        <f t="shared" si="4"/>
        <v>100</v>
      </c>
      <c r="G32" s="56">
        <f t="shared" si="4"/>
        <v>100</v>
      </c>
      <c r="H32" s="4"/>
      <c r="I32" s="4"/>
      <c r="J32" s="4"/>
      <c r="K32" s="6"/>
      <c r="L32" s="4"/>
      <c r="M32" s="4"/>
      <c r="N32" s="4"/>
      <c r="O32" s="4"/>
      <c r="P32" s="4"/>
    </row>
    <row r="33" spans="1:16" x14ac:dyDescent="0.25">
      <c r="A33" s="59" t="s">
        <v>49</v>
      </c>
      <c r="B33" s="44">
        <v>-3.1225022567582528E-16</v>
      </c>
      <c r="C33" s="61">
        <f>SUM(C22:C31)</f>
        <v>279.40040651464625</v>
      </c>
      <c r="D33" s="62">
        <f>SUM(D22:D31)</f>
        <v>39651.211481118931</v>
      </c>
      <c r="E33" s="62">
        <f>SUM(E22:E31)</f>
        <v>45108.331618496995</v>
      </c>
      <c r="F33" s="60">
        <f>SUM(F22:F31)</f>
        <v>100</v>
      </c>
      <c r="G33" s="60">
        <f>SUM(G22:G31)</f>
        <v>100.00000000000001</v>
      </c>
      <c r="H33" s="4"/>
      <c r="I33" s="4"/>
      <c r="J33" s="4"/>
      <c r="K33" s="6"/>
      <c r="L33" s="4"/>
      <c r="M33" s="4"/>
      <c r="N33" s="4"/>
      <c r="O33" s="4"/>
      <c r="P33" s="4"/>
    </row>
    <row r="35" spans="1:16" x14ac:dyDescent="0.25">
      <c r="A35" s="59"/>
      <c r="B35" s="44"/>
      <c r="C35" s="61"/>
      <c r="D35" s="62"/>
      <c r="E35" s="62"/>
      <c r="F35" s="60"/>
      <c r="G35" s="60"/>
      <c r="H35" s="4"/>
      <c r="I35" s="4"/>
      <c r="J35" s="4"/>
      <c r="K35" s="6"/>
      <c r="L35" s="4"/>
      <c r="M35" s="4"/>
      <c r="N35" s="4"/>
      <c r="O35" s="4"/>
      <c r="P35" s="4"/>
    </row>
    <row r="36" spans="1:16" x14ac:dyDescent="0.25">
      <c r="A36" s="4"/>
      <c r="B36" s="72"/>
      <c r="C36" s="4"/>
      <c r="D36" s="4"/>
      <c r="E36" s="4"/>
      <c r="F36" s="4"/>
      <c r="G36" s="4"/>
      <c r="H36" s="4"/>
      <c r="I36" s="4"/>
      <c r="J36" s="4"/>
      <c r="K36" s="6"/>
      <c r="L36" s="4"/>
      <c r="M36" s="4"/>
      <c r="N36" s="4"/>
      <c r="O36" s="4"/>
      <c r="P36" s="4"/>
    </row>
    <row r="37" spans="1:16" ht="51" x14ac:dyDescent="0.25">
      <c r="A37" s="90" t="s">
        <v>13</v>
      </c>
      <c r="B37" s="92" t="s">
        <v>42</v>
      </c>
      <c r="C37" s="93" t="s">
        <v>10</v>
      </c>
      <c r="D37" s="340" t="s">
        <v>43</v>
      </c>
      <c r="E37" s="340"/>
      <c r="F37" s="340" t="s">
        <v>44</v>
      </c>
      <c r="G37" s="340"/>
      <c r="H37" s="36"/>
      <c r="I37" s="36"/>
      <c r="J37" s="36"/>
      <c r="K37" s="42"/>
      <c r="L37" s="36"/>
      <c r="M37" s="36"/>
      <c r="N37" s="36"/>
      <c r="O37" s="36"/>
      <c r="P37" s="36"/>
    </row>
    <row r="38" spans="1:16" x14ac:dyDescent="0.25">
      <c r="A38" s="51"/>
      <c r="B38" s="94" t="s">
        <v>13</v>
      </c>
      <c r="C38" s="95">
        <v>2010</v>
      </c>
      <c r="D38" s="96">
        <v>2005</v>
      </c>
      <c r="E38" s="96">
        <v>2010</v>
      </c>
      <c r="F38" s="96">
        <v>2005</v>
      </c>
      <c r="G38" s="96">
        <v>2010</v>
      </c>
      <c r="H38" s="4"/>
      <c r="I38" s="4"/>
      <c r="J38" s="4"/>
      <c r="K38" s="6"/>
      <c r="L38" s="4"/>
      <c r="M38" s="4"/>
      <c r="N38" s="4"/>
      <c r="O38" s="4"/>
      <c r="P38" s="4"/>
    </row>
    <row r="39" spans="1:16" x14ac:dyDescent="0.25">
      <c r="A39" s="86" t="s">
        <v>14</v>
      </c>
      <c r="B39" s="56">
        <f t="shared" ref="B39:B49" si="8">+G39-F39</f>
        <v>-1.7498989715184408</v>
      </c>
      <c r="C39" s="56">
        <f>+'GVA-productivity2'!U$30</f>
        <v>0.62105167328679434</v>
      </c>
      <c r="D39" s="34">
        <f>+'GVA-productivity2'!T$8</f>
        <v>28151.968488942326</v>
      </c>
      <c r="E39" s="34">
        <f>+'GVA-productivity2'!U$8</f>
        <v>31587.173719515748</v>
      </c>
      <c r="F39" s="56">
        <f t="shared" ref="F39:G49" si="9">(+D39/D$49)*100</f>
        <v>62.409686811379231</v>
      </c>
      <c r="G39" s="56">
        <f t="shared" si="9"/>
        <v>60.65978783986079</v>
      </c>
      <c r="H39" s="4"/>
      <c r="I39" s="4"/>
      <c r="J39" s="4"/>
      <c r="K39" s="6"/>
      <c r="L39" s="4"/>
      <c r="M39" s="4"/>
      <c r="N39" s="4"/>
      <c r="O39" s="4"/>
      <c r="P39" s="4"/>
    </row>
    <row r="40" spans="1:16" s="242" customFormat="1" x14ac:dyDescent="0.25">
      <c r="A40" s="239" t="s">
        <v>19</v>
      </c>
      <c r="B40" s="240">
        <f t="shared" si="8"/>
        <v>7.8724485044442072E-2</v>
      </c>
      <c r="C40" s="240">
        <f>+'GVA-productivity2'!U$32</f>
        <v>128.24570883360136</v>
      </c>
      <c r="D40" s="241">
        <f>+'GVA-productivity2'!T$10</f>
        <v>69.09998444795859</v>
      </c>
      <c r="E40" s="241">
        <f>+'GVA-productivity2'!U$10</f>
        <v>120.76237880177629</v>
      </c>
      <c r="F40" s="240">
        <f t="shared" ref="F40" si="10">(+D40/D$49)*100</f>
        <v>0.15318674393096737</v>
      </c>
      <c r="G40" s="240">
        <f t="shared" ref="G40" si="11">(+E40/E$49)*100</f>
        <v>0.23191122897540944</v>
      </c>
      <c r="H40" s="36" t="s">
        <v>111</v>
      </c>
    </row>
    <row r="41" spans="1:16" x14ac:dyDescent="0.25">
      <c r="A41" s="86" t="s">
        <v>20</v>
      </c>
      <c r="B41" s="56">
        <f t="shared" si="8"/>
        <v>0.53751880154579501</v>
      </c>
      <c r="C41" s="56">
        <f>+'GVA-productivity2'!U$33</f>
        <v>0.84789077525488654</v>
      </c>
      <c r="D41" s="34">
        <f>+'GVA-productivity2'!T$11</f>
        <v>1643.3617449964418</v>
      </c>
      <c r="E41" s="34">
        <f>+'GVA-productivity2'!U$11</f>
        <v>2176.9832314630107</v>
      </c>
      <c r="F41" s="56">
        <f t="shared" si="9"/>
        <v>3.6431445944291352</v>
      </c>
      <c r="G41" s="56">
        <f t="shared" si="9"/>
        <v>4.1806633959749302</v>
      </c>
      <c r="H41" s="4"/>
      <c r="I41" s="4"/>
      <c r="J41" s="4"/>
      <c r="K41" s="6"/>
      <c r="L41" s="4"/>
      <c r="M41" s="4"/>
      <c r="N41" s="4"/>
      <c r="O41" s="4"/>
      <c r="P41" s="4"/>
    </row>
    <row r="42" spans="1:16" x14ac:dyDescent="0.25">
      <c r="A42" s="86" t="s">
        <v>21</v>
      </c>
      <c r="B42" s="56">
        <f t="shared" si="8"/>
        <v>-8.5529793676747262E-2</v>
      </c>
      <c r="C42" s="56">
        <f>+'GVA-productivity2'!U$34</f>
        <v>0.63821934236570388</v>
      </c>
      <c r="D42" s="34">
        <f>+'GVA-productivity2'!T$12</f>
        <v>139.93055070184144</v>
      </c>
      <c r="E42" s="34">
        <f>+'GVA-productivity2'!U$12</f>
        <v>116.99698637672748</v>
      </c>
      <c r="F42" s="56">
        <f t="shared" si="9"/>
        <v>0.31020998933257354</v>
      </c>
      <c r="G42" s="56">
        <f t="shared" si="9"/>
        <v>0.22468019565582628</v>
      </c>
      <c r="H42" s="4"/>
      <c r="I42" s="4"/>
      <c r="J42" s="4"/>
      <c r="K42" s="6"/>
      <c r="L42" s="4"/>
      <c r="M42" s="4"/>
      <c r="N42" s="4"/>
      <c r="O42" s="4"/>
      <c r="P42" s="4"/>
    </row>
    <row r="43" spans="1:16" x14ac:dyDescent="0.25">
      <c r="A43" s="86" t="s">
        <v>22</v>
      </c>
      <c r="B43" s="56">
        <f t="shared" si="8"/>
        <v>0.69225854100321482</v>
      </c>
      <c r="C43" s="56">
        <f>+'GVA-productivity2'!U$35</f>
        <v>1.3436763884249339</v>
      </c>
      <c r="D43" s="34">
        <f>+'GVA-productivity2'!T$13</f>
        <v>413.9178709145566</v>
      </c>
      <c r="E43" s="34">
        <f>+'GVA-productivity2'!U$13</f>
        <v>838.30080361690909</v>
      </c>
      <c r="F43" s="56">
        <f t="shared" si="9"/>
        <v>0.91760846846489585</v>
      </c>
      <c r="G43" s="56">
        <f t="shared" si="9"/>
        <v>1.6098670094681107</v>
      </c>
      <c r="H43" s="4"/>
      <c r="I43" s="4"/>
      <c r="J43" s="4"/>
      <c r="K43" s="6"/>
      <c r="L43" s="4"/>
      <c r="M43" s="4"/>
      <c r="N43" s="4"/>
      <c r="O43" s="4"/>
      <c r="P43" s="4"/>
    </row>
    <row r="44" spans="1:16" x14ac:dyDescent="0.25">
      <c r="A44" s="87" t="s">
        <v>25</v>
      </c>
      <c r="B44" s="56">
        <f t="shared" si="8"/>
        <v>-0.77866916328447999</v>
      </c>
      <c r="C44" s="56">
        <f>+'GVA-productivity2'!U$39</f>
        <v>1.1917268546152944</v>
      </c>
      <c r="D44" s="34">
        <f>+'GVA-productivity2'!T$17</f>
        <v>7983.0486505139115</v>
      </c>
      <c r="E44" s="34">
        <f>+'GVA-productivity2'!U$17</f>
        <v>8810.0895866335431</v>
      </c>
      <c r="F44" s="56">
        <f t="shared" si="9"/>
        <v>17.697503685195944</v>
      </c>
      <c r="G44" s="56">
        <f t="shared" si="9"/>
        <v>16.918834521911464</v>
      </c>
      <c r="H44" s="4"/>
      <c r="I44" s="4"/>
      <c r="J44" s="4"/>
      <c r="K44" s="6"/>
      <c r="L44" s="4"/>
      <c r="M44" s="4"/>
      <c r="N44" s="4"/>
      <c r="O44" s="4"/>
      <c r="P44" s="4"/>
    </row>
    <row r="45" spans="1:16" x14ac:dyDescent="0.25">
      <c r="A45" s="87" t="s">
        <v>26</v>
      </c>
      <c r="B45" s="56">
        <f t="shared" si="8"/>
        <v>0.22589914650085063</v>
      </c>
      <c r="C45" s="56">
        <f>+'GVA-productivity2'!U$40</f>
        <v>0.66335814048441866</v>
      </c>
      <c r="D45" s="34">
        <f>+'GVA-productivity2'!T$18</f>
        <v>1272.1565617675346</v>
      </c>
      <c r="E45" s="34">
        <f>+'GVA-productivity2'!U$18</f>
        <v>1586.1984382513363</v>
      </c>
      <c r="F45" s="56">
        <f t="shared" si="9"/>
        <v>2.8202252580006255</v>
      </c>
      <c r="G45" s="56">
        <f t="shared" si="9"/>
        <v>3.0461244045014761</v>
      </c>
      <c r="H45" s="4"/>
      <c r="I45" s="4"/>
      <c r="J45" s="4"/>
      <c r="K45" s="6"/>
      <c r="L45" s="4"/>
      <c r="M45" s="4"/>
      <c r="N45" s="4"/>
      <c r="O45" s="4"/>
      <c r="P45" s="4"/>
    </row>
    <row r="46" spans="1:16" x14ac:dyDescent="0.25">
      <c r="A46" s="87" t="s">
        <v>46</v>
      </c>
      <c r="B46" s="56">
        <f t="shared" si="8"/>
        <v>1.4570582481417138</v>
      </c>
      <c r="C46" s="56">
        <f>+'GVA-productivity2'!U$42</f>
        <v>0.81120734783262138</v>
      </c>
      <c r="D46" s="34">
        <f>+'GVA-productivity2'!T20</f>
        <v>585.11586897035261</v>
      </c>
      <c r="E46" s="34">
        <f>+'GVA-productivity2'!U20</f>
        <v>1434.181976167966</v>
      </c>
      <c r="F46" s="56">
        <f t="shared" si="9"/>
        <v>1.2971348040955291</v>
      </c>
      <c r="G46" s="56">
        <f t="shared" si="9"/>
        <v>2.7541930522372429</v>
      </c>
      <c r="H46" s="4"/>
      <c r="I46" s="4"/>
      <c r="J46" s="4"/>
      <c r="K46" s="6"/>
      <c r="L46" s="4"/>
      <c r="M46" s="4"/>
      <c r="N46" s="4"/>
      <c r="O46" s="4"/>
      <c r="P46" s="4"/>
    </row>
    <row r="47" spans="1:16" x14ac:dyDescent="0.25">
      <c r="A47" s="86" t="s">
        <v>47</v>
      </c>
      <c r="B47" s="56">
        <f t="shared" si="8"/>
        <v>3.6399387853824017E-2</v>
      </c>
      <c r="C47" s="56">
        <f>+'GVA-productivity2'!U$44</f>
        <v>0.26128147719636829</v>
      </c>
      <c r="D47" s="34">
        <f>+'GVA-productivity2'!T$22</f>
        <v>1929.4364176062641</v>
      </c>
      <c r="E47" s="34">
        <f>+'GVA-productivity2'!U$22</f>
        <v>2246.279119770013</v>
      </c>
      <c r="F47" s="56">
        <f t="shared" si="9"/>
        <v>4.2773393481373736</v>
      </c>
      <c r="G47" s="56">
        <f t="shared" si="9"/>
        <v>4.3137387359911976</v>
      </c>
      <c r="H47" s="4"/>
      <c r="I47" s="4"/>
      <c r="J47" s="4"/>
      <c r="K47" s="6"/>
      <c r="L47" s="4"/>
      <c r="M47" s="4"/>
      <c r="N47" s="4"/>
      <c r="O47" s="4"/>
      <c r="P47" s="4"/>
    </row>
    <row r="48" spans="1:16" x14ac:dyDescent="0.25">
      <c r="A48" s="87" t="s">
        <v>34</v>
      </c>
      <c r="B48" s="56">
        <f t="shared" si="8"/>
        <v>-0.4137606816101842</v>
      </c>
      <c r="C48" s="56">
        <f>+'GVA-productivity2'!U$45</f>
        <v>0.19629936082244806</v>
      </c>
      <c r="D48" s="34">
        <f>+'GVA-productivity2'!T$23</f>
        <v>2920.2954796358131</v>
      </c>
      <c r="E48" s="34">
        <f>+'GVA-productivity2'!U$23</f>
        <v>3155.7080043319474</v>
      </c>
      <c r="F48" s="56">
        <f t="shared" si="9"/>
        <v>6.4739602970337415</v>
      </c>
      <c r="G48" s="56">
        <f t="shared" si="9"/>
        <v>6.0601996154235573</v>
      </c>
      <c r="H48" s="4"/>
      <c r="I48" s="4"/>
      <c r="J48" s="4"/>
      <c r="K48" s="6"/>
      <c r="L48" s="4"/>
      <c r="M48" s="4"/>
      <c r="N48" s="4"/>
      <c r="O48" s="4"/>
      <c r="P48" s="4"/>
    </row>
    <row r="49" spans="1:16" x14ac:dyDescent="0.25">
      <c r="A49" s="88" t="s">
        <v>48</v>
      </c>
      <c r="B49" s="56">
        <f t="shared" si="8"/>
        <v>0</v>
      </c>
      <c r="C49" s="58">
        <f>+'GVA-productivity2'!U47</f>
        <v>134.82042019388484</v>
      </c>
      <c r="D49" s="34">
        <f>+'GVA-productivity2'!T24</f>
        <v>45108.331618496995</v>
      </c>
      <c r="E49" s="34">
        <f>+'GVA-productivity2'!U24</f>
        <v>52072.674244928974</v>
      </c>
      <c r="F49" s="56">
        <f t="shared" si="9"/>
        <v>100</v>
      </c>
      <c r="G49" s="56">
        <f t="shared" si="9"/>
        <v>100</v>
      </c>
      <c r="H49" s="4"/>
      <c r="I49" s="4"/>
      <c r="J49" s="4"/>
      <c r="K49" s="6"/>
      <c r="L49" s="4"/>
      <c r="M49" s="4"/>
      <c r="N49" s="4"/>
      <c r="O49" s="4"/>
      <c r="P49" s="4"/>
    </row>
    <row r="50" spans="1:16" x14ac:dyDescent="0.25">
      <c r="A50" s="74" t="s">
        <v>49</v>
      </c>
      <c r="B50" s="44">
        <v>-3.1225022567582528E-16</v>
      </c>
      <c r="C50" s="61">
        <f>SUM(C39:C48)</f>
        <v>134.82042019388484</v>
      </c>
      <c r="D50" s="62">
        <f>SUM(D39:D48)</f>
        <v>45108.331618496995</v>
      </c>
      <c r="E50" s="62">
        <f>SUM(E39:E48)</f>
        <v>52072.674244928974</v>
      </c>
      <c r="F50" s="60">
        <f>SUM(F39:F48)</f>
        <v>100.00000000000001</v>
      </c>
      <c r="G50" s="60">
        <f>SUM(G39:G48)</f>
        <v>99.999999999999972</v>
      </c>
      <c r="H50" s="4"/>
      <c r="I50" s="4"/>
      <c r="J50" s="4"/>
      <c r="K50" s="6"/>
      <c r="L50" s="4"/>
      <c r="M50" s="4"/>
      <c r="N50" s="4"/>
      <c r="O50" s="4"/>
      <c r="P50" s="4"/>
    </row>
  </sheetData>
  <mergeCells count="6">
    <mergeCell ref="D4:E4"/>
    <mergeCell ref="F4:G4"/>
    <mergeCell ref="D20:E20"/>
    <mergeCell ref="F20:G20"/>
    <mergeCell ref="D37:E37"/>
    <mergeCell ref="F37:G3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4"/>
  <sheetViews>
    <sheetView showGridLines="0" workbookViewId="0">
      <selection activeCell="A2" sqref="A2"/>
    </sheetView>
  </sheetViews>
  <sheetFormatPr defaultRowHeight="12" x14ac:dyDescent="0.25"/>
  <cols>
    <col min="1" max="1" width="28.140625" customWidth="1"/>
    <col min="2" max="7" width="12.85546875" customWidth="1"/>
    <col min="8" max="8" width="3.42578125" customWidth="1"/>
  </cols>
  <sheetData>
    <row r="1" spans="1:7" ht="14.4" x14ac:dyDescent="0.3">
      <c r="A1" s="115" t="s">
        <v>50</v>
      </c>
      <c r="B1" s="98"/>
      <c r="C1" s="99"/>
      <c r="D1" s="99"/>
      <c r="E1" s="99"/>
      <c r="F1" s="99"/>
      <c r="G1" s="99"/>
    </row>
    <row r="2" spans="1:7" ht="11.25" customHeight="1" x14ac:dyDescent="0.25">
      <c r="A2" s="304" t="s">
        <v>267</v>
      </c>
      <c r="B2" s="98"/>
      <c r="C2" s="99"/>
      <c r="D2" s="99"/>
      <c r="E2" s="99"/>
      <c r="F2" s="99"/>
      <c r="G2" s="99"/>
    </row>
    <row r="3" spans="1:7" ht="24" x14ac:dyDescent="0.3">
      <c r="A3" s="97"/>
      <c r="B3" s="98"/>
      <c r="C3" s="99"/>
      <c r="D3" s="99"/>
      <c r="E3" s="112"/>
      <c r="F3" s="102" t="s">
        <v>54</v>
      </c>
      <c r="G3" s="102" t="s">
        <v>55</v>
      </c>
    </row>
    <row r="4" spans="1:7" ht="11.25" customHeight="1" x14ac:dyDescent="0.3">
      <c r="A4" s="97"/>
      <c r="B4" s="98"/>
      <c r="C4" s="99"/>
      <c r="D4" s="99"/>
      <c r="E4" s="101" t="s">
        <v>11</v>
      </c>
      <c r="F4" s="71">
        <f>+F21</f>
        <v>1.1586917405658967E-2</v>
      </c>
      <c r="G4" s="276">
        <f>+B10-F4</f>
        <v>-2.02275134385521E-2</v>
      </c>
    </row>
    <row r="5" spans="1:7" ht="11.25" customHeight="1" x14ac:dyDescent="0.3">
      <c r="A5" s="97"/>
      <c r="B5" s="98"/>
      <c r="C5" s="99"/>
      <c r="D5" s="99"/>
      <c r="E5" s="101" t="s">
        <v>12</v>
      </c>
      <c r="F5" s="71">
        <f>+F35</f>
        <v>0.10577410366642054</v>
      </c>
      <c r="G5" s="276">
        <f>+B24-F5</f>
        <v>-4.1282297458842432E-2</v>
      </c>
    </row>
    <row r="6" spans="1:7" ht="11.25" customHeight="1" x14ac:dyDescent="0.3">
      <c r="A6" s="97"/>
      <c r="B6" s="98"/>
      <c r="C6" s="99"/>
      <c r="D6" s="99"/>
      <c r="E6" s="101" t="s">
        <v>13</v>
      </c>
      <c r="F6" s="71">
        <f>+F49</f>
        <v>5.5493071392539714E-2</v>
      </c>
      <c r="G6" s="276">
        <f>+B38-F6</f>
        <v>-3.4611013633256957E-2</v>
      </c>
    </row>
    <row r="7" spans="1:7" s="135" customFormat="1" ht="11.25" customHeight="1" x14ac:dyDescent="0.3">
      <c r="A7" s="130"/>
      <c r="B7" s="131"/>
      <c r="C7" s="132"/>
      <c r="D7" s="132"/>
      <c r="E7" s="133"/>
      <c r="F7" s="134"/>
      <c r="G7" s="269"/>
    </row>
    <row r="8" spans="1:7" ht="49.8" customHeight="1" x14ac:dyDescent="0.25">
      <c r="A8" s="100"/>
      <c r="B8" s="136" t="s">
        <v>51</v>
      </c>
      <c r="C8" s="136" t="s">
        <v>52</v>
      </c>
      <c r="D8" s="136" t="s">
        <v>52</v>
      </c>
      <c r="E8" s="136" t="s">
        <v>53</v>
      </c>
      <c r="F8" s="137" t="s">
        <v>54</v>
      </c>
      <c r="G8" s="270"/>
    </row>
    <row r="9" spans="1:7" ht="12.6" customHeight="1" x14ac:dyDescent="0.25">
      <c r="A9" s="100"/>
      <c r="B9" s="138" t="s">
        <v>11</v>
      </c>
      <c r="C9" s="138" t="s">
        <v>8</v>
      </c>
      <c r="D9" s="138" t="s">
        <v>45</v>
      </c>
      <c r="E9" s="138" t="s">
        <v>56</v>
      </c>
      <c r="F9" s="102" t="s">
        <v>238</v>
      </c>
      <c r="G9" s="271"/>
    </row>
    <row r="10" spans="1:7" x14ac:dyDescent="0.25">
      <c r="A10" s="103" t="s">
        <v>37</v>
      </c>
      <c r="B10" s="66">
        <f>VLOOKUP(A10,'GVA-productivity2'!$A$51:$M$67,11,FALSE)</f>
        <v>-8.640596032893133E-3</v>
      </c>
      <c r="C10" s="66">
        <f>VLOOKUP($A10,'GVA-productivity2'!$A$30:$O$46,12,FALSE)/100</f>
        <v>1</v>
      </c>
      <c r="D10" s="66">
        <f>VLOOKUP($A10,'GVA-productivity2'!$A$30:$O$46,13,FALSE)/100</f>
        <v>1</v>
      </c>
      <c r="E10" s="104"/>
      <c r="F10" s="105"/>
      <c r="G10" s="272"/>
    </row>
    <row r="11" spans="1:7" x14ac:dyDescent="0.25">
      <c r="A11" s="106" t="s">
        <v>14</v>
      </c>
      <c r="B11" s="66">
        <f>VLOOKUP(A11,'GVA-productivity2'!$A$51:$M$67,11,FALSE)</f>
        <v>-1.4232512744217551E-2</v>
      </c>
      <c r="C11" s="66">
        <f>VLOOKUP($A11,'GVA-productivity2'!$A$30:$O$46,12,FALSE)/100</f>
        <v>0.50038926942094186</v>
      </c>
      <c r="D11" s="66">
        <f>VLOOKUP($A11,'GVA-productivity2'!$A$30:$O$46,13,FALSE)/100</f>
        <v>0.6368614180646921</v>
      </c>
      <c r="E11" s="67">
        <f>+D11-C11</f>
        <v>0.13647214864375024</v>
      </c>
      <c r="F11" s="68">
        <f t="shared" ref="F11:F20" si="0">+B11*C11</f>
        <v>-7.1217966541032652E-3</v>
      </c>
      <c r="G11" s="273"/>
    </row>
    <row r="12" spans="1:7" x14ac:dyDescent="0.25">
      <c r="A12" s="107" t="s">
        <v>19</v>
      </c>
      <c r="B12" s="66">
        <f>VLOOKUP(A12,'GVA-productivity2'!$A$51:$M$67,11,FALSE)</f>
        <v>0.16426027760382489</v>
      </c>
      <c r="C12" s="66">
        <f>VLOOKUP($A12,'GVA-productivity2'!$A$30:$O$46,12,FALSE)/100</f>
        <v>3.9029119005384834E-3</v>
      </c>
      <c r="D12" s="66">
        <f>VLOOKUP($A12,'GVA-productivity2'!$A$30:$O$46,13,FALSE)/100</f>
        <v>7.1228238723615705E-4</v>
      </c>
      <c r="E12" s="67">
        <f t="shared" ref="E12:E20" si="1">+D12-C12</f>
        <v>-3.1906295133023264E-3</v>
      </c>
      <c r="F12" s="68">
        <f t="shared" si="0"/>
        <v>6.4109339224572312E-4</v>
      </c>
      <c r="G12" s="273"/>
    </row>
    <row r="13" spans="1:7" x14ac:dyDescent="0.25">
      <c r="A13" s="107" t="s">
        <v>20</v>
      </c>
      <c r="B13" s="66">
        <f>VLOOKUP(A13,'GVA-productivity2'!$A$51:$M$67,11,FALSE)</f>
        <v>6.0446566400551571E-3</v>
      </c>
      <c r="C13" s="66">
        <f>VLOOKUP($A13,'GVA-productivity2'!$A$30:$O$46,12,FALSE)/100</f>
        <v>4.4411961581310069E-2</v>
      </c>
      <c r="D13" s="66">
        <f>VLOOKUP($A13,'GVA-productivity2'!$A$30:$O$46,13,FALSE)/100</f>
        <v>3.1039260580113893E-2</v>
      </c>
      <c r="E13" s="67">
        <f t="shared" si="1"/>
        <v>-1.3372701001196176E-2</v>
      </c>
      <c r="F13" s="68">
        <f t="shared" si="0"/>
        <v>2.6845505847034046E-4</v>
      </c>
      <c r="G13" s="273"/>
    </row>
    <row r="14" spans="1:7" x14ac:dyDescent="0.25">
      <c r="A14" s="107" t="s">
        <v>21</v>
      </c>
      <c r="B14" s="66">
        <f>VLOOKUP(A14,'GVA-productivity2'!$A$51:$M$67,11,FALSE)</f>
        <v>4.2454196268586042E-2</v>
      </c>
      <c r="C14" s="66">
        <f>VLOOKUP($A14,'GVA-productivity2'!$A$30:$O$46,12,FALSE)/100</f>
        <v>4.5034949182701633E-3</v>
      </c>
      <c r="D14" s="66">
        <f>VLOOKUP($A14,'GVA-productivity2'!$A$30:$O$46,13,FALSE)/100</f>
        <v>2.7428268617331773E-3</v>
      </c>
      <c r="E14" s="67">
        <f t="shared" si="1"/>
        <v>-1.760668056536986E-3</v>
      </c>
      <c r="F14" s="68">
        <f t="shared" si="0"/>
        <v>1.9119225715482136E-4</v>
      </c>
      <c r="G14" s="273"/>
    </row>
    <row r="15" spans="1:7" x14ac:dyDescent="0.25">
      <c r="A15" s="107" t="s">
        <v>22</v>
      </c>
      <c r="B15" s="66">
        <f>VLOOKUP(A15,'GVA-productivity2'!$A$51:$M$67,11,FALSE)</f>
        <v>5.9717172937691521E-2</v>
      </c>
      <c r="C15" s="66">
        <f>VLOOKUP($A15,'GVA-productivity2'!$A$30:$O$46,12,FALSE)/100</f>
        <v>1.0848314529277557E-2</v>
      </c>
      <c r="D15" s="66">
        <f>VLOOKUP($A15,'GVA-productivity2'!$A$30:$O$46,13,FALSE)/100</f>
        <v>7.0195651476137174E-3</v>
      </c>
      <c r="E15" s="67">
        <f t="shared" si="1"/>
        <v>-3.8287493816638396E-3</v>
      </c>
      <c r="F15" s="68">
        <f t="shared" si="0"/>
        <v>6.4783067482733947E-4</v>
      </c>
      <c r="G15" s="273"/>
    </row>
    <row r="16" spans="1:7" x14ac:dyDescent="0.25">
      <c r="A16" s="107" t="s">
        <v>25</v>
      </c>
      <c r="B16" s="66">
        <f>VLOOKUP(A16,'GVA-productivity2'!$A$51:$M$67,11,FALSE)</f>
        <v>2.9894645849510182E-2</v>
      </c>
      <c r="C16" s="66">
        <f>VLOOKUP($A16,'GVA-productivity2'!$A$30:$O$46,12,FALSE)/100</f>
        <v>0.2692121356890268</v>
      </c>
      <c r="D16" s="66">
        <f>VLOOKUP($A16,'GVA-productivity2'!$A$30:$O$46,13,FALSE)/100</f>
        <v>0.1888202173206083</v>
      </c>
      <c r="E16" s="67">
        <f t="shared" si="1"/>
        <v>-8.0391918368418497E-2</v>
      </c>
      <c r="F16" s="68">
        <f t="shared" si="0"/>
        <v>8.0480014548137361E-3</v>
      </c>
      <c r="G16" s="273"/>
    </row>
    <row r="17" spans="1:7" x14ac:dyDescent="0.25">
      <c r="A17" s="107" t="s">
        <v>26</v>
      </c>
      <c r="B17" s="66">
        <f>VLOOKUP(A17,'GVA-productivity2'!$A$51:$M$67,11,FALSE)</f>
        <v>4.883615628245308E-2</v>
      </c>
      <c r="C17" s="66">
        <f>VLOOKUP($A17,'GVA-productivity2'!$A$30:$O$46,12,FALSE)/100</f>
        <v>3.172133584495241E-2</v>
      </c>
      <c r="D17" s="66">
        <f>VLOOKUP($A17,'GVA-productivity2'!$A$30:$O$46,13,FALSE)/100</f>
        <v>2.1602826380325561E-2</v>
      </c>
      <c r="E17" s="67">
        <f t="shared" si="1"/>
        <v>-1.0118509464626849E-2</v>
      </c>
      <c r="F17" s="68">
        <f t="shared" si="0"/>
        <v>1.5491481148122766E-3</v>
      </c>
      <c r="G17" s="273"/>
    </row>
    <row r="18" spans="1:7" x14ac:dyDescent="0.25">
      <c r="A18" s="107" t="s">
        <v>46</v>
      </c>
      <c r="B18" s="66">
        <f>VLOOKUP("Finance and business services",'GVA-productivity2'!$A$51:$M$67,11,FALSE)</f>
        <v>-4.5070205603922053E-3</v>
      </c>
      <c r="C18" s="66">
        <f>VLOOKUP("Finance and business services",'GVA-productivity2'!$A$30:$O$46,12,FALSE)/100</f>
        <v>8.0118593959982685E-3</v>
      </c>
      <c r="D18" s="66">
        <f>VLOOKUP("Finance and business services",'GVA-productivity2'!$A$30:$O$46,13,FALSE)/100</f>
        <v>6.2949887416534891E-3</v>
      </c>
      <c r="E18" s="67">
        <f t="shared" si="1"/>
        <v>-1.7168706543447794E-3</v>
      </c>
      <c r="F18" s="68">
        <f t="shared" si="0"/>
        <v>-3.6109615024735671E-5</v>
      </c>
      <c r="G18" s="273"/>
    </row>
    <row r="19" spans="1:7" x14ac:dyDescent="0.25">
      <c r="A19" s="107" t="s">
        <v>33</v>
      </c>
      <c r="B19" s="66">
        <f>VLOOKUP(A19,'GVA-productivity2'!$A$51:$M$67,11,FALSE)</f>
        <v>3.3569175131190399E-2</v>
      </c>
      <c r="C19" s="66">
        <f>VLOOKUP($A19,'GVA-productivity2'!$A$30:$O$46,12,FALSE)/100</f>
        <v>6.2748327176826046E-2</v>
      </c>
      <c r="D19" s="66">
        <f>VLOOKUP($A19,'GVA-productivity2'!$A$30:$O$46,13,FALSE)/100</f>
        <v>4.2050922806026438E-2</v>
      </c>
      <c r="E19" s="67">
        <f t="shared" si="1"/>
        <v>-2.0697404370799609E-2</v>
      </c>
      <c r="F19" s="68">
        <f t="shared" si="0"/>
        <v>2.1064095841881077E-3</v>
      </c>
      <c r="G19" s="273"/>
    </row>
    <row r="20" spans="1:7" x14ac:dyDescent="0.25">
      <c r="A20" s="108" t="s">
        <v>34</v>
      </c>
      <c r="B20" s="66">
        <f>VLOOKUP("Other services",'GVA-productivity2'!$A$51:$M$67,11,FALSE)</f>
        <v>8.2376047459511659E-2</v>
      </c>
      <c r="C20" s="66">
        <f>VLOOKUP("Other services",'GVA-productivity2'!$A$30:$O$46,12,FALSE)/100</f>
        <v>6.4250389542858471E-2</v>
      </c>
      <c r="D20" s="66">
        <f>VLOOKUP("Other services",'GVA-productivity2'!$A$30:$O$46,13,FALSE)/100</f>
        <v>6.285569170999715E-2</v>
      </c>
      <c r="E20" s="67">
        <f t="shared" si="1"/>
        <v>-1.3946978328613219E-3</v>
      </c>
      <c r="F20" s="68">
        <f t="shared" si="0"/>
        <v>5.2926931382746211E-3</v>
      </c>
      <c r="G20" s="273"/>
    </row>
    <row r="21" spans="1:7" x14ac:dyDescent="0.25">
      <c r="A21" s="109" t="s">
        <v>77</v>
      </c>
      <c r="B21" s="126">
        <f>SUM(B10:B20)</f>
        <v>0.43977219883532004</v>
      </c>
      <c r="C21" s="126">
        <f>SUM(C11:C20)</f>
        <v>1.0000000000000002</v>
      </c>
      <c r="D21" s="126">
        <f>SUM(D11:D20)</f>
        <v>0.99999999999999989</v>
      </c>
      <c r="E21" s="70"/>
      <c r="F21" s="71">
        <f>SUM(F11:F20)</f>
        <v>1.1586917405658967E-2</v>
      </c>
      <c r="G21" s="274"/>
    </row>
    <row r="22" spans="1:7" x14ac:dyDescent="0.25">
      <c r="A22" s="110"/>
      <c r="B22" s="111"/>
      <c r="C22" s="111"/>
      <c r="D22" s="111"/>
      <c r="E22" s="110"/>
      <c r="F22" s="110"/>
      <c r="G22" s="275"/>
    </row>
    <row r="23" spans="1:7" x14ac:dyDescent="0.25">
      <c r="A23" s="100"/>
      <c r="B23" s="138" t="s">
        <v>12</v>
      </c>
      <c r="C23" s="138">
        <v>2000</v>
      </c>
      <c r="D23" s="138">
        <v>2005</v>
      </c>
      <c r="E23" s="138" t="s">
        <v>58</v>
      </c>
      <c r="F23" s="102" t="s">
        <v>238</v>
      </c>
      <c r="G23" s="271"/>
    </row>
    <row r="24" spans="1:7" x14ac:dyDescent="0.25">
      <c r="A24" s="103" t="s">
        <v>37</v>
      </c>
      <c r="B24" s="66">
        <f>VLOOKUP(A24,'GVA-productivity2'!$A$51:$M$67,12,FALSE)</f>
        <v>6.4491806207578106E-2</v>
      </c>
      <c r="C24" s="66">
        <f>VLOOKUP($A24,'GVA-productivity2'!$A$30:$O$46,13,FALSE)/100</f>
        <v>1</v>
      </c>
      <c r="D24" s="66">
        <f>VLOOKUP($A24,'GVA-productivity2'!$A$30:$O$46,14,FALSE)/100</f>
        <v>1</v>
      </c>
      <c r="E24" s="104"/>
      <c r="F24" s="105"/>
      <c r="G24" s="272"/>
    </row>
    <row r="25" spans="1:7" x14ac:dyDescent="0.25">
      <c r="A25" s="106" t="s">
        <v>14</v>
      </c>
      <c r="B25" s="66">
        <f>VLOOKUP(A25,'GVA-productivity2'!$A$51:$M$67,12,FALSE)</f>
        <v>0.11974496539466317</v>
      </c>
      <c r="C25" s="66">
        <f>VLOOKUP($A25,'GVA-productivity2'!$A$30:$O$46,13,FALSE)/100</f>
        <v>0.6368614180646921</v>
      </c>
      <c r="D25" s="66">
        <f>VLOOKUP($A25,'GVA-productivity2'!$A$30:$O$46,14,FALSE)/100</f>
        <v>0.62409686811379228</v>
      </c>
      <c r="E25" s="67">
        <f t="shared" ref="E25:E34" si="2">+D25-C25</f>
        <v>-1.2764549950899817E-2</v>
      </c>
      <c r="F25" s="68">
        <f t="shared" ref="F25:F34" si="3">+B25*C25</f>
        <v>7.6260948467352666E-2</v>
      </c>
      <c r="G25" s="273"/>
    </row>
    <row r="26" spans="1:7" x14ac:dyDescent="0.25">
      <c r="A26" s="107" t="s">
        <v>19</v>
      </c>
      <c r="B26" s="66">
        <f>VLOOKUP(A26,'GVA-productivity2'!$A$51:$M$67,12,FALSE)</f>
        <v>-0.12168640482057191</v>
      </c>
      <c r="C26" s="66">
        <f>VLOOKUP($A26,'GVA-productivity2'!$A$30:$O$46,13,FALSE)/100</f>
        <v>7.1228238723615705E-4</v>
      </c>
      <c r="D26" s="66">
        <f>VLOOKUP($A26,'GVA-productivity2'!$A$30:$O$46,14,FALSE)/100</f>
        <v>1.5318674393096738E-3</v>
      </c>
      <c r="E26" s="67">
        <f t="shared" si="2"/>
        <v>8.1958505207351678E-4</v>
      </c>
      <c r="F26" s="68">
        <f t="shared" si="3"/>
        <v>-8.6675082919782375E-5</v>
      </c>
      <c r="G26" s="273"/>
    </row>
    <row r="27" spans="1:7" x14ac:dyDescent="0.25">
      <c r="A27" s="107" t="s">
        <v>20</v>
      </c>
      <c r="B27" s="66">
        <f>VLOOKUP(A27,'GVA-productivity2'!$A$51:$M$67,12,FALSE)</f>
        <v>2.7102249526371081E-2</v>
      </c>
      <c r="C27" s="66">
        <f>VLOOKUP($A27,'GVA-productivity2'!$A$30:$O$46,13,FALSE)/100</f>
        <v>3.1039260580113893E-2</v>
      </c>
      <c r="D27" s="66">
        <f>VLOOKUP($A27,'GVA-productivity2'!$A$30:$O$46,14,FALSE)/100</f>
        <v>3.6431445944291353E-2</v>
      </c>
      <c r="E27" s="67">
        <f t="shared" si="2"/>
        <v>5.3921853641774597E-3</v>
      </c>
      <c r="F27" s="68">
        <f t="shared" si="3"/>
        <v>8.4123378535630032E-4</v>
      </c>
      <c r="G27" s="273"/>
    </row>
    <row r="28" spans="1:7" x14ac:dyDescent="0.25">
      <c r="A28" s="107" t="s">
        <v>21</v>
      </c>
      <c r="B28" s="66">
        <f>VLOOKUP(A28,'GVA-productivity2'!$A$51:$M$67,12,FALSE)</f>
        <v>7.7977507887486919E-2</v>
      </c>
      <c r="C28" s="66">
        <f>VLOOKUP($A28,'GVA-productivity2'!$A$30:$O$46,13,FALSE)/100</f>
        <v>2.7428268617331773E-3</v>
      </c>
      <c r="D28" s="66">
        <f>VLOOKUP($A28,'GVA-productivity2'!$A$30:$O$46,14,FALSE)/100</f>
        <v>3.1020998933257355E-3</v>
      </c>
      <c r="E28" s="67">
        <f t="shared" si="2"/>
        <v>3.5927303159255823E-4</v>
      </c>
      <c r="F28" s="68">
        <f t="shared" si="3"/>
        <v>2.1387880324480983E-4</v>
      </c>
      <c r="G28" s="273"/>
    </row>
    <row r="29" spans="1:7" x14ac:dyDescent="0.25">
      <c r="A29" s="107" t="s">
        <v>22</v>
      </c>
      <c r="B29" s="66">
        <f>VLOOKUP(A29,'GVA-productivity2'!$A$51:$M$67,12,FALSE)</f>
        <v>-2.2371252272837872E-2</v>
      </c>
      <c r="C29" s="66">
        <f>VLOOKUP($A29,'GVA-productivity2'!$A$30:$O$46,13,FALSE)/100</f>
        <v>7.0195651476137174E-3</v>
      </c>
      <c r="D29" s="66">
        <f>VLOOKUP($A29,'GVA-productivity2'!$A$30:$O$46,14,FALSE)/100</f>
        <v>9.1760846846489583E-3</v>
      </c>
      <c r="E29" s="67">
        <f t="shared" si="2"/>
        <v>2.1565195370352409E-3</v>
      </c>
      <c r="F29" s="68">
        <f t="shared" si="3"/>
        <v>-1.5703646276288689E-4</v>
      </c>
      <c r="G29" s="273"/>
    </row>
    <row r="30" spans="1:7" x14ac:dyDescent="0.25">
      <c r="A30" s="107" t="s">
        <v>25</v>
      </c>
      <c r="B30" s="66">
        <f>VLOOKUP(A30,'GVA-productivity2'!$A$51:$M$67,12,FALSE)</f>
        <v>0.11185263574742188</v>
      </c>
      <c r="C30" s="66">
        <f>VLOOKUP($A30,'GVA-productivity2'!$A$30:$O$46,13,FALSE)/100</f>
        <v>0.1888202173206083</v>
      </c>
      <c r="D30" s="66">
        <f>VLOOKUP($A30,'GVA-productivity2'!$A$30:$O$46,14,FALSE)/100</f>
        <v>0.17697503685195945</v>
      </c>
      <c r="E30" s="67">
        <f t="shared" si="2"/>
        <v>-1.1845180468648853E-2</v>
      </c>
      <c r="F30" s="68">
        <f t="shared" si="3"/>
        <v>2.112003898971104E-2</v>
      </c>
      <c r="G30" s="273"/>
    </row>
    <row r="31" spans="1:7" x14ac:dyDescent="0.25">
      <c r="A31" s="107" t="s">
        <v>26</v>
      </c>
      <c r="B31" s="66">
        <f>VLOOKUP(A31,'GVA-productivity2'!$A$51:$M$67,12,FALSE)</f>
        <v>0.14148588594667455</v>
      </c>
      <c r="C31" s="66">
        <f>VLOOKUP($A31,'GVA-productivity2'!$A$30:$O$46,13,FALSE)/100</f>
        <v>2.1602826380325561E-2</v>
      </c>
      <c r="D31" s="66">
        <f>VLOOKUP($A31,'GVA-productivity2'!$A$30:$O$46,14,FALSE)/100</f>
        <v>2.8202252580006255E-2</v>
      </c>
      <c r="E31" s="67">
        <f t="shared" si="2"/>
        <v>6.5994261996806941E-3</v>
      </c>
      <c r="F31" s="68">
        <f t="shared" si="3"/>
        <v>3.0564950293725545E-3</v>
      </c>
      <c r="G31" s="273"/>
    </row>
    <row r="32" spans="1:7" x14ac:dyDescent="0.25">
      <c r="A32" s="107" t="s">
        <v>46</v>
      </c>
      <c r="B32" s="66">
        <f>VLOOKUP("Finance and business services",'GVA-productivity2'!$A$51:$M$67,12,FALSE)</f>
        <v>-0.13244808962451216</v>
      </c>
      <c r="C32" s="66">
        <f>VLOOKUP("Finance and business services",'GVA-productivity2'!$A$30:$O$46,13,FALSE)/100</f>
        <v>6.2949887416534891E-3</v>
      </c>
      <c r="D32" s="66">
        <f>VLOOKUP("Finance and business services",'GVA-productivity2'!$A$30:$O$46,14,FALSE)/100</f>
        <v>1.297134804095529E-2</v>
      </c>
      <c r="E32" s="67">
        <f t="shared" si="2"/>
        <v>6.676359299301801E-3</v>
      </c>
      <c r="F32" s="68">
        <f t="shared" si="3"/>
        <v>-8.3375923303981628E-4</v>
      </c>
      <c r="G32" s="273"/>
    </row>
    <row r="33" spans="1:7" x14ac:dyDescent="0.25">
      <c r="A33" s="107" t="s">
        <v>33</v>
      </c>
      <c r="B33" s="66">
        <f>VLOOKUP(A33,'GVA-productivity2'!$A$51:$M$67,12,FALSE)</f>
        <v>3.7339676114101383E-2</v>
      </c>
      <c r="C33" s="66">
        <f>VLOOKUP($A33,'GVA-productivity2'!$A$30:$O$46,13,FALSE)/100</f>
        <v>4.2050922806026438E-2</v>
      </c>
      <c r="D33" s="66">
        <f>VLOOKUP($A33,'GVA-productivity2'!$A$30:$O$46,14,FALSE)/100</f>
        <v>4.2773393481373739E-2</v>
      </c>
      <c r="E33" s="67">
        <f t="shared" si="2"/>
        <v>7.2247067534730175E-4</v>
      </c>
      <c r="F33" s="68">
        <f t="shared" si="3"/>
        <v>1.5701678378761065E-3</v>
      </c>
      <c r="G33" s="273"/>
    </row>
    <row r="34" spans="1:7" x14ac:dyDescent="0.25">
      <c r="A34" s="108" t="s">
        <v>34</v>
      </c>
      <c r="B34" s="66">
        <f>VLOOKUP("Other services",'GVA-productivity2'!$A$51:$M$67,12,FALSE)</f>
        <v>6.0277938706176482E-2</v>
      </c>
      <c r="C34" s="66">
        <f>VLOOKUP("Other services",'GVA-productivity2'!$A$30:$O$46,13,FALSE)/100</f>
        <v>6.285569170999715E-2</v>
      </c>
      <c r="D34" s="66">
        <f>VLOOKUP("Other services",'GVA-productivity2'!$A$30:$O$46,14,FALSE)/100</f>
        <v>6.4739602970337415E-2</v>
      </c>
      <c r="E34" s="67">
        <f t="shared" si="2"/>
        <v>1.8839112603402652E-3</v>
      </c>
      <c r="F34" s="68">
        <f t="shared" si="3"/>
        <v>3.7888115322295335E-3</v>
      </c>
      <c r="G34" s="273"/>
    </row>
    <row r="35" spans="1:7" x14ac:dyDescent="0.25">
      <c r="A35" s="109" t="s">
        <v>77</v>
      </c>
      <c r="B35" s="126">
        <f>SUM(B24:B34)</f>
        <v>0.36376691881255163</v>
      </c>
      <c r="C35" s="126">
        <f>SUM(C25:C34)</f>
        <v>0.99999999999999989</v>
      </c>
      <c r="D35" s="126">
        <f>SUM(D25:D34)</f>
        <v>1.0000000000000002</v>
      </c>
      <c r="E35" s="70"/>
      <c r="F35" s="71">
        <f>SUM(F25:F34)</f>
        <v>0.10577410366642054</v>
      </c>
      <c r="G35" s="274"/>
    </row>
    <row r="36" spans="1:7" x14ac:dyDescent="0.25">
      <c r="A36" s="110"/>
      <c r="B36" s="111"/>
      <c r="C36" s="111"/>
      <c r="D36" s="111"/>
      <c r="E36" s="99"/>
      <c r="F36" s="99"/>
      <c r="G36" s="132"/>
    </row>
    <row r="37" spans="1:7" x14ac:dyDescent="0.25">
      <c r="A37" s="100"/>
      <c r="B37" s="138" t="s">
        <v>13</v>
      </c>
      <c r="C37" s="138">
        <v>2005</v>
      </c>
      <c r="D37" s="138">
        <v>2010</v>
      </c>
      <c r="E37" s="138" t="s">
        <v>59</v>
      </c>
      <c r="F37" s="102" t="s">
        <v>238</v>
      </c>
      <c r="G37" s="271"/>
    </row>
    <row r="38" spans="1:7" x14ac:dyDescent="0.25">
      <c r="A38" s="103" t="s">
        <v>37</v>
      </c>
      <c r="B38" s="66">
        <f>VLOOKUP(A38,'GVA-productivity2'!$A$51:$M$67,13,FALSE)</f>
        <v>2.0882057759282757E-2</v>
      </c>
      <c r="C38" s="66">
        <f>VLOOKUP($A38,'GVA-productivity2'!$A$30:$O$46,14,FALSE)/100</f>
        <v>1</v>
      </c>
      <c r="D38" s="66">
        <f>VLOOKUP($A38,'GVA-productivity2'!$A$30:$O$46,15,FALSE)/100</f>
        <v>1</v>
      </c>
      <c r="E38" s="104"/>
      <c r="F38" s="105"/>
      <c r="G38" s="272"/>
    </row>
    <row r="39" spans="1:7" x14ac:dyDescent="0.25">
      <c r="A39" s="106" t="s">
        <v>14</v>
      </c>
      <c r="B39" s="66">
        <f>VLOOKUP(A39,'GVA-productivity2'!$A$51:$M$67,13,FALSE)</f>
        <v>4.0859347442443017E-2</v>
      </c>
      <c r="C39" s="66">
        <f>VLOOKUP($A39,'GVA-productivity2'!$A$30:$O$46,14,FALSE)/100</f>
        <v>0.62409686811379228</v>
      </c>
      <c r="D39" s="66">
        <f>VLOOKUP($A39,'GVA-productivity2'!$A$30:$O$46,15,FALSE)/100</f>
        <v>0.6065978783986079</v>
      </c>
      <c r="E39" s="67">
        <f t="shared" ref="E39:E48" si="4">+D39-C39</f>
        <v>-1.7498989715184377E-2</v>
      </c>
      <c r="F39" s="68">
        <f t="shared" ref="F39:F48" si="5">+B39*C39</f>
        <v>2.5500190772001975E-2</v>
      </c>
      <c r="G39" s="273"/>
    </row>
    <row r="40" spans="1:7" x14ac:dyDescent="0.25">
      <c r="A40" s="107" t="s">
        <v>19</v>
      </c>
      <c r="B40" s="66">
        <f>VLOOKUP(A40,'GVA-productivity2'!$A$51:$M$67,13,FALSE)</f>
        <v>-0.12249170267139986</v>
      </c>
      <c r="C40" s="66">
        <f>VLOOKUP($A40,'GVA-productivity2'!$A$30:$O$46,14,FALSE)/100</f>
        <v>1.5318674393096738E-3</v>
      </c>
      <c r="D40" s="66">
        <f>VLOOKUP($A40,'GVA-productivity2'!$A$30:$O$46,15,FALSE)/100</f>
        <v>2.3191122897540943E-3</v>
      </c>
      <c r="E40" s="67">
        <f t="shared" si="4"/>
        <v>7.8724485044442049E-4</v>
      </c>
      <c r="F40" s="68">
        <f t="shared" si="5"/>
        <v>-1.8764105090791924E-4</v>
      </c>
      <c r="G40" s="273"/>
    </row>
    <row r="41" spans="1:7" x14ac:dyDescent="0.25">
      <c r="A41" s="107" t="s">
        <v>20</v>
      </c>
      <c r="B41" s="66">
        <f>VLOOKUP(A41,'GVA-productivity2'!$A$51:$M$67,13,FALSE)</f>
        <v>2.7102249526371303E-2</v>
      </c>
      <c r="C41" s="66">
        <f>VLOOKUP($A41,'GVA-productivity2'!$A$30:$O$46,14,FALSE)/100</f>
        <v>3.6431445944291353E-2</v>
      </c>
      <c r="D41" s="66">
        <f>VLOOKUP($A41,'GVA-productivity2'!$A$30:$O$46,15,FALSE)/100</f>
        <v>4.1806633959749304E-2</v>
      </c>
      <c r="E41" s="67">
        <f t="shared" si="4"/>
        <v>5.3751880154579504E-3</v>
      </c>
      <c r="F41" s="68">
        <f t="shared" si="5"/>
        <v>9.8737413858869202E-4</v>
      </c>
      <c r="G41" s="273"/>
    </row>
    <row r="42" spans="1:7" x14ac:dyDescent="0.25">
      <c r="A42" s="107" t="s">
        <v>21</v>
      </c>
      <c r="B42" s="66">
        <f>VLOOKUP(A42,'GVA-productivity2'!$A$51:$M$67,13,FALSE)</f>
        <v>7.7977507887487141E-2</v>
      </c>
      <c r="C42" s="66">
        <f>VLOOKUP($A42,'GVA-productivity2'!$A$30:$O$46,14,FALSE)/100</f>
        <v>3.1020998933257355E-3</v>
      </c>
      <c r="D42" s="66">
        <f>VLOOKUP($A42,'GVA-productivity2'!$A$30:$O$46,15,FALSE)/100</f>
        <v>2.2468019565582628E-3</v>
      </c>
      <c r="E42" s="67">
        <f t="shared" si="4"/>
        <v>-8.5529793676747271E-4</v>
      </c>
      <c r="F42" s="68">
        <f t="shared" si="5"/>
        <v>2.4189401889958056E-4</v>
      </c>
      <c r="G42" s="273"/>
    </row>
    <row r="43" spans="1:7" x14ac:dyDescent="0.25">
      <c r="A43" s="107" t="s">
        <v>22</v>
      </c>
      <c r="B43" s="66">
        <f>VLOOKUP(A43,'GVA-productivity2'!$A$51:$M$67,13,FALSE)</f>
        <v>-2.2371252272837761E-2</v>
      </c>
      <c r="C43" s="66">
        <f>VLOOKUP($A43,'GVA-productivity2'!$A$30:$O$46,14,FALSE)/100</f>
        <v>9.1760846846489583E-3</v>
      </c>
      <c r="D43" s="66">
        <f>VLOOKUP($A43,'GVA-productivity2'!$A$30:$O$46,15,FALSE)/100</f>
        <v>1.6098670094681106E-2</v>
      </c>
      <c r="E43" s="67">
        <f t="shared" si="4"/>
        <v>6.9225854100321473E-3</v>
      </c>
      <c r="F43" s="68">
        <f t="shared" si="5"/>
        <v>-2.0528050535720477E-4</v>
      </c>
      <c r="G43" s="273"/>
    </row>
    <row r="44" spans="1:7" x14ac:dyDescent="0.25">
      <c r="A44" s="107" t="s">
        <v>25</v>
      </c>
      <c r="B44" s="66">
        <f>VLOOKUP(A44,'GVA-productivity2'!$A$51:$M$67,13,FALSE)</f>
        <v>0.11179391949013051</v>
      </c>
      <c r="C44" s="66">
        <f>VLOOKUP($A44,'GVA-productivity2'!$A$30:$O$46,14,FALSE)/100</f>
        <v>0.17697503685195945</v>
      </c>
      <c r="D44" s="66">
        <f>VLOOKUP($A44,'GVA-productivity2'!$A$30:$O$46,15,FALSE)/100</f>
        <v>0.16918834521911463</v>
      </c>
      <c r="E44" s="67">
        <f t="shared" si="4"/>
        <v>-7.7866916328448166E-3</v>
      </c>
      <c r="F44" s="68">
        <f t="shared" si="5"/>
        <v>1.9784733021590836E-2</v>
      </c>
      <c r="G44" s="273"/>
    </row>
    <row r="45" spans="1:7" x14ac:dyDescent="0.25">
      <c r="A45" s="107" t="s">
        <v>26</v>
      </c>
      <c r="B45" s="66">
        <f>VLOOKUP(A45,'GVA-productivity2'!$A$51:$M$67,13,FALSE)</f>
        <v>9.5870232113574927E-2</v>
      </c>
      <c r="C45" s="66">
        <f>VLOOKUP($A45,'GVA-productivity2'!$A$30:$O$46,14,FALSE)/100</f>
        <v>2.8202252580006255E-2</v>
      </c>
      <c r="D45" s="66">
        <f>VLOOKUP($A45,'GVA-productivity2'!$A$30:$O$46,15,FALSE)/100</f>
        <v>3.0461244045014761E-2</v>
      </c>
      <c r="E45" s="67">
        <f t="shared" si="4"/>
        <v>2.2589914650085058E-3</v>
      </c>
      <c r="F45" s="68">
        <f t="shared" si="5"/>
        <v>2.7037565009708671E-3</v>
      </c>
      <c r="G45" s="273"/>
    </row>
    <row r="46" spans="1:7" x14ac:dyDescent="0.25">
      <c r="A46" s="107" t="s">
        <v>46</v>
      </c>
      <c r="B46" s="66">
        <f>VLOOKUP("Finance and business services",'GVA-productivity2'!$A$51:$M$67,13,FALSE)</f>
        <v>-3.8088347761899843E-4</v>
      </c>
      <c r="C46" s="66">
        <f>VLOOKUP("Finance and business services",'GVA-productivity2'!$A$30:$O$46,14,FALSE)/100</f>
        <v>1.297134804095529E-2</v>
      </c>
      <c r="D46" s="66">
        <f>VLOOKUP("Finance and business services",'GVA-productivity2'!$A$30:$O$46,15,FALSE)/100</f>
        <v>2.7541930522372429E-2</v>
      </c>
      <c r="E46" s="67">
        <f t="shared" si="4"/>
        <v>1.4570582481417139E-2</v>
      </c>
      <c r="F46" s="68">
        <f t="shared" si="5"/>
        <v>-4.9405721512454338E-6</v>
      </c>
      <c r="G46" s="273"/>
    </row>
    <row r="47" spans="1:7" x14ac:dyDescent="0.25">
      <c r="A47" s="107" t="s">
        <v>33</v>
      </c>
      <c r="B47" s="66">
        <f>VLOOKUP(A47,'GVA-productivity2'!$A$51:$M$67,13,FALSE)</f>
        <v>2.5539525871303814E-2</v>
      </c>
      <c r="C47" s="66">
        <f>VLOOKUP($A47,'GVA-productivity2'!$A$30:$O$46,14,FALSE)/100</f>
        <v>4.2773393481373739E-2</v>
      </c>
      <c r="D47" s="66">
        <f>VLOOKUP($A47,'GVA-productivity2'!$A$30:$O$46,15,FALSE)/100</f>
        <v>4.3137387359911974E-2</v>
      </c>
      <c r="E47" s="67">
        <f t="shared" si="4"/>
        <v>3.6399387853823517E-4</v>
      </c>
      <c r="F47" s="68">
        <f t="shared" si="5"/>
        <v>1.0924121894210026E-3</v>
      </c>
      <c r="G47" s="273"/>
    </row>
    <row r="48" spans="1:7" x14ac:dyDescent="0.25">
      <c r="A48" s="108" t="s">
        <v>34</v>
      </c>
      <c r="B48" s="66">
        <f>VLOOKUP("Other services",'GVA-productivity2'!$A$51:$M$67,13,FALSE)</f>
        <v>8.6200295081204859E-2</v>
      </c>
      <c r="C48" s="66">
        <f>VLOOKUP("Other services",'GVA-productivity2'!$A$30:$O$46,14,FALSE)/100</f>
        <v>6.4739602970337415E-2</v>
      </c>
      <c r="D48" s="66">
        <f>VLOOKUP("Other services",'GVA-productivity2'!$A$30:$O$46,15,FALSE)/100</f>
        <v>6.0601996154235574E-2</v>
      </c>
      <c r="E48" s="67">
        <f t="shared" si="4"/>
        <v>-4.1376068161018409E-3</v>
      </c>
      <c r="F48" s="68">
        <f t="shared" si="5"/>
        <v>5.5805728794831319E-3</v>
      </c>
      <c r="G48" s="273"/>
    </row>
    <row r="49" spans="1:7" x14ac:dyDescent="0.25">
      <c r="A49" s="109" t="s">
        <v>77</v>
      </c>
      <c r="B49" s="69">
        <f>SUM(B38:B48)</f>
        <v>0.34098129674994171</v>
      </c>
      <c r="C49" s="126">
        <f>SUM(C39:C48)</f>
        <v>1.0000000000000002</v>
      </c>
      <c r="D49" s="126">
        <f>SUM(D39:D48)</f>
        <v>1</v>
      </c>
      <c r="E49" s="70"/>
      <c r="F49" s="71">
        <f>SUM(F39:F48)</f>
        <v>5.5493071392539714E-2</v>
      </c>
      <c r="G49" s="274"/>
    </row>
    <row r="50" spans="1:7" x14ac:dyDescent="0.25">
      <c r="A50" s="110"/>
      <c r="B50" s="111"/>
      <c r="C50" s="111"/>
      <c r="D50" s="111"/>
      <c r="E50" s="112"/>
      <c r="F50" s="113"/>
      <c r="G50" s="113"/>
    </row>
    <row r="51" spans="1:7" x14ac:dyDescent="0.25">
      <c r="A51" s="114"/>
      <c r="B51" s="112"/>
      <c r="C51" s="112"/>
      <c r="D51" s="112"/>
    </row>
    <row r="52" spans="1:7" x14ac:dyDescent="0.25">
      <c r="A52" s="114"/>
      <c r="B52" s="112"/>
      <c r="C52" s="112"/>
      <c r="D52" s="112"/>
    </row>
    <row r="53" spans="1:7" x14ac:dyDescent="0.25">
      <c r="A53" s="114"/>
      <c r="B53" s="112"/>
      <c r="C53" s="112"/>
      <c r="D53" s="112"/>
    </row>
    <row r="54" spans="1:7" x14ac:dyDescent="0.25">
      <c r="A54" s="114"/>
      <c r="B54" s="112"/>
      <c r="C54" s="112"/>
      <c r="D54" s="1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1"/>
  <sheetViews>
    <sheetView showGridLines="0" workbookViewId="0">
      <selection activeCell="D4" sqref="D4"/>
    </sheetView>
  </sheetViews>
  <sheetFormatPr defaultRowHeight="12" x14ac:dyDescent="0.25"/>
  <cols>
    <col min="2" max="2" width="29.5703125" customWidth="1"/>
    <col min="3" max="6" width="14.140625" customWidth="1"/>
  </cols>
  <sheetData>
    <row r="1" spans="1:17" ht="14.4" x14ac:dyDescent="0.25">
      <c r="A1" s="149" t="s">
        <v>81</v>
      </c>
    </row>
    <row r="2" spans="1:17" x14ac:dyDescent="0.25">
      <c r="A2" s="304" t="s">
        <v>267</v>
      </c>
    </row>
    <row r="3" spans="1:17" x14ac:dyDescent="0.25">
      <c r="A3" s="360"/>
      <c r="C3" s="360"/>
      <c r="D3" s="360"/>
      <c r="E3" s="360"/>
      <c r="F3" s="360"/>
    </row>
    <row r="4" spans="1:17" x14ac:dyDescent="0.25">
      <c r="A4" s="361"/>
      <c r="B4" s="99"/>
      <c r="C4" s="361"/>
      <c r="D4" s="362" t="s">
        <v>265</v>
      </c>
      <c r="E4" s="361"/>
      <c r="F4" s="361"/>
    </row>
    <row r="5" spans="1:17" ht="48" x14ac:dyDescent="0.25">
      <c r="A5" s="151" t="s">
        <v>83</v>
      </c>
      <c r="B5" s="152" t="s">
        <v>2</v>
      </c>
      <c r="C5" s="153" t="s">
        <v>80</v>
      </c>
      <c r="D5" s="153" t="s">
        <v>82</v>
      </c>
      <c r="E5" s="153" t="s">
        <v>84</v>
      </c>
      <c r="F5" s="153" t="s">
        <v>82</v>
      </c>
      <c r="H5" s="262"/>
      <c r="I5" s="151" t="s">
        <v>60</v>
      </c>
      <c r="J5" s="151" t="s">
        <v>33</v>
      </c>
      <c r="K5" s="151" t="s">
        <v>14</v>
      </c>
      <c r="L5" s="151" t="s">
        <v>63</v>
      </c>
      <c r="M5" s="151" t="s">
        <v>20</v>
      </c>
      <c r="N5" s="151" t="s">
        <v>27</v>
      </c>
      <c r="O5" s="151" t="s">
        <v>61</v>
      </c>
      <c r="P5" s="151" t="s">
        <v>19</v>
      </c>
      <c r="Q5" s="151" t="s">
        <v>247</v>
      </c>
    </row>
    <row r="6" spans="1:17" x14ac:dyDescent="0.25">
      <c r="A6" s="150">
        <v>8</v>
      </c>
      <c r="B6" s="139" t="s">
        <v>60</v>
      </c>
      <c r="C6" s="147">
        <f>VLOOKUP("Other services",'GVA-productivity2'!$A$30:$O$46,15,FALSE)/100</f>
        <v>6.0601996154235574E-2</v>
      </c>
      <c r="D6" s="145">
        <f>VLOOKUP("Other services",'GVA-productivity2'!$A$30:$U$46,21,FALSE)</f>
        <v>0.19629936082244806</v>
      </c>
      <c r="E6" s="221">
        <f>+C6</f>
        <v>6.0601996154235574E-2</v>
      </c>
      <c r="F6" s="145">
        <f>+D6</f>
        <v>0.19629936082244806</v>
      </c>
      <c r="H6" s="234">
        <v>0</v>
      </c>
      <c r="I6" s="234">
        <v>0</v>
      </c>
      <c r="J6" s="234"/>
      <c r="K6" s="234"/>
      <c r="L6" s="234"/>
      <c r="M6" s="234"/>
      <c r="N6" s="234"/>
      <c r="O6" s="234"/>
      <c r="P6" s="234"/>
      <c r="Q6" s="234">
        <v>0</v>
      </c>
    </row>
    <row r="7" spans="1:17" x14ac:dyDescent="0.25">
      <c r="A7" s="150">
        <v>7</v>
      </c>
      <c r="B7" s="139" t="s">
        <v>33</v>
      </c>
      <c r="C7" s="147">
        <f>VLOOKUP($B7,'GVA-productivity2'!$A$30:$O$46,15,FALSE)/100</f>
        <v>4.3137387359911974E-2</v>
      </c>
      <c r="D7" s="145">
        <f>VLOOKUP($B7,'GVA-productivity2'!$A$30:$U$46,21,FALSE)</f>
        <v>0.26128147719636829</v>
      </c>
      <c r="E7" s="221">
        <f t="shared" ref="E7:E13" si="0">+C7+E6</f>
        <v>0.10373938351414755</v>
      </c>
      <c r="F7" s="145">
        <f t="shared" ref="F7:F13" si="1">+D7</f>
        <v>0.26128147719636829</v>
      </c>
      <c r="H7" s="234">
        <v>0</v>
      </c>
      <c r="I7" s="234">
        <f>+$F$6</f>
        <v>0.19629936082244806</v>
      </c>
      <c r="J7" s="234"/>
      <c r="K7" s="234"/>
      <c r="L7" s="234"/>
      <c r="M7" s="234"/>
      <c r="N7" s="234"/>
      <c r="O7" s="234"/>
      <c r="P7" s="234"/>
      <c r="Q7" s="234">
        <v>0</v>
      </c>
    </row>
    <row r="8" spans="1:17" x14ac:dyDescent="0.25">
      <c r="A8" s="150">
        <v>1</v>
      </c>
      <c r="B8" s="139" t="s">
        <v>14</v>
      </c>
      <c r="C8" s="147">
        <f>VLOOKUP($B8,'GVA-productivity2'!$A$30:$O$46,15,FALSE)/100</f>
        <v>0.6065978783986079</v>
      </c>
      <c r="D8" s="145">
        <f>VLOOKUP($B8,'GVA-productivity2'!$A$30:$U$46,21,FALSE)</f>
        <v>0.62105167328679434</v>
      </c>
      <c r="E8" s="221">
        <f t="shared" si="0"/>
        <v>0.71033726191275548</v>
      </c>
      <c r="F8" s="145">
        <f t="shared" si="1"/>
        <v>0.62105167328679434</v>
      </c>
      <c r="H8" s="234">
        <f>AVERAGE(H7,H9)</f>
        <v>3.0300998077117787</v>
      </c>
      <c r="I8" s="234">
        <f>+$F$6</f>
        <v>0.19629936082244806</v>
      </c>
      <c r="J8" s="234"/>
      <c r="K8" s="234"/>
      <c r="L8" s="234"/>
      <c r="M8" s="234"/>
      <c r="N8" s="234"/>
      <c r="O8" s="234"/>
      <c r="P8" s="234"/>
      <c r="Q8" s="234">
        <v>0</v>
      </c>
    </row>
    <row r="9" spans="1:17" x14ac:dyDescent="0.25">
      <c r="A9" s="150">
        <v>6</v>
      </c>
      <c r="B9" s="139" t="s">
        <v>63</v>
      </c>
      <c r="C9" s="147">
        <f>VLOOKUP($B9,'GVA-productivity2'!$A$30:$O$46,15,FALSE)/100</f>
        <v>2.7541930522372429E-2</v>
      </c>
      <c r="D9" s="145">
        <f>VLOOKUP($B9,'GVA-productivity2'!$A$30:$U$46,21,FALSE)</f>
        <v>0.81120734783262138</v>
      </c>
      <c r="E9" s="221">
        <f t="shared" si="0"/>
        <v>0.7378791924351279</v>
      </c>
      <c r="F9" s="145">
        <f t="shared" si="1"/>
        <v>0.81120734783262138</v>
      </c>
      <c r="H9" s="234">
        <f>+$E$6*100</f>
        <v>6.0601996154235573</v>
      </c>
      <c r="I9" s="234">
        <f>+$F$6</f>
        <v>0.19629936082244806</v>
      </c>
      <c r="J9" s="234">
        <v>0</v>
      </c>
      <c r="K9" s="234"/>
      <c r="L9" s="234"/>
      <c r="M9" s="234"/>
      <c r="N9" s="234"/>
      <c r="O9" s="234"/>
      <c r="P9" s="234"/>
      <c r="Q9" s="234">
        <v>0</v>
      </c>
    </row>
    <row r="10" spans="1:17" x14ac:dyDescent="0.25">
      <c r="A10" s="150">
        <v>3</v>
      </c>
      <c r="B10" s="139" t="s">
        <v>20</v>
      </c>
      <c r="C10" s="147">
        <f>VLOOKUP($B10,'GVA-productivity2'!$A$30:$O$46,15,FALSE)/100</f>
        <v>4.1806633959749304E-2</v>
      </c>
      <c r="D10" s="145">
        <f>VLOOKUP($B10,'GVA-productivity2'!$A$30:$U$46,21,FALSE)</f>
        <v>0.84789077525488654</v>
      </c>
      <c r="E10" s="221">
        <f t="shared" si="0"/>
        <v>0.77968582639487716</v>
      </c>
      <c r="F10" s="145">
        <f t="shared" si="1"/>
        <v>0.84789077525488654</v>
      </c>
      <c r="H10" s="234">
        <f>+$E$6*100</f>
        <v>6.0601996154235573</v>
      </c>
      <c r="I10" s="234">
        <v>0</v>
      </c>
      <c r="J10" s="234">
        <f>+$F$7</f>
        <v>0.26128147719636829</v>
      </c>
      <c r="K10" s="234"/>
      <c r="L10" s="234"/>
      <c r="M10" s="234"/>
      <c r="N10" s="234"/>
      <c r="O10" s="234"/>
      <c r="P10" s="234"/>
      <c r="Q10" s="234">
        <v>0</v>
      </c>
    </row>
    <row r="11" spans="1:17" x14ac:dyDescent="0.25">
      <c r="A11" s="150">
        <v>5</v>
      </c>
      <c r="B11" s="140" t="s">
        <v>27</v>
      </c>
      <c r="C11" s="147">
        <f>VLOOKUP($B11,'GVA-productivity2'!$A$30:$O$46,15,FALSE)/100</f>
        <v>0.1996495892641294</v>
      </c>
      <c r="D11" s="145">
        <f>VLOOKUP($B11,'GVA-productivity2'!$A$30:$U$46,21,FALSE)</f>
        <v>1.1111117709268503</v>
      </c>
      <c r="E11" s="221">
        <f t="shared" si="0"/>
        <v>0.97933541565900661</v>
      </c>
      <c r="F11" s="145">
        <f t="shared" si="1"/>
        <v>1.1111117709268503</v>
      </c>
      <c r="H11" s="234">
        <f>AVERAGE(H10,H12)</f>
        <v>8.2170689834191553</v>
      </c>
      <c r="I11" s="234"/>
      <c r="J11" s="234">
        <f>+$F$7</f>
        <v>0.26128147719636829</v>
      </c>
      <c r="K11" s="234"/>
      <c r="L11" s="234"/>
      <c r="M11" s="234"/>
      <c r="N11" s="234"/>
      <c r="O11" s="234"/>
      <c r="P11" s="234"/>
      <c r="Q11" s="234">
        <v>0</v>
      </c>
    </row>
    <row r="12" spans="1:17" x14ac:dyDescent="0.25">
      <c r="A12" s="150">
        <v>4</v>
      </c>
      <c r="B12" s="140" t="s">
        <v>61</v>
      </c>
      <c r="C12" s="147">
        <f>VLOOKUP($B12,'GVA-productivity2'!$A$30:$O$46,15,FALSE)/100</f>
        <v>1.8345472051239368E-2</v>
      </c>
      <c r="D12" s="145">
        <f>VLOOKUP($B12,'GVA-productivity2'!$A$30:$U$46,21,FALSE)</f>
        <v>1.2572778336792896</v>
      </c>
      <c r="E12" s="221">
        <f t="shared" si="0"/>
        <v>0.99768088771024599</v>
      </c>
      <c r="F12" s="145">
        <f t="shared" si="1"/>
        <v>1.2572778336792896</v>
      </c>
      <c r="H12" s="234">
        <f>+$E$7*100</f>
        <v>10.373938351414754</v>
      </c>
      <c r="I12" s="234"/>
      <c r="J12" s="234">
        <f>+$F$7</f>
        <v>0.26128147719636829</v>
      </c>
      <c r="K12" s="234">
        <v>0</v>
      </c>
      <c r="L12" s="234"/>
      <c r="M12" s="234"/>
      <c r="N12" s="234"/>
      <c r="O12" s="234"/>
      <c r="P12" s="234"/>
      <c r="Q12" s="234">
        <v>0</v>
      </c>
    </row>
    <row r="13" spans="1:17" s="242" customFormat="1" x14ac:dyDescent="0.25">
      <c r="A13" s="249">
        <v>2</v>
      </c>
      <c r="B13" s="250" t="s">
        <v>19</v>
      </c>
      <c r="C13" s="253">
        <f>VLOOKUP($B13,'GVA-productivity2'!$A$30:$O$46,15,FALSE)/100</f>
        <v>2.3191122897540943E-3</v>
      </c>
      <c r="D13" s="252">
        <f>VLOOKUP($B13,'GVA-productivity2'!$A$30:$U$46,21,FALSE)</f>
        <v>128.24570883360136</v>
      </c>
      <c r="E13" s="253">
        <f t="shared" si="0"/>
        <v>1</v>
      </c>
      <c r="F13" s="252">
        <f t="shared" si="1"/>
        <v>128.24570883360136</v>
      </c>
      <c r="G13" s="242" t="s">
        <v>111</v>
      </c>
      <c r="H13" s="264">
        <f>+$E$7*100</f>
        <v>10.373938351414754</v>
      </c>
      <c r="I13" s="264"/>
      <c r="J13" s="264">
        <v>0</v>
      </c>
      <c r="K13" s="264">
        <f>+$F$8</f>
        <v>0.62105167328679434</v>
      </c>
      <c r="L13" s="264"/>
      <c r="M13" s="264"/>
      <c r="N13" s="264"/>
      <c r="O13" s="264"/>
      <c r="P13" s="264"/>
      <c r="Q13" s="264">
        <v>0</v>
      </c>
    </row>
    <row r="14" spans="1:17" x14ac:dyDescent="0.25">
      <c r="B14" s="154" t="s">
        <v>57</v>
      </c>
      <c r="C14" s="146">
        <f>SUM(C6:C13)</f>
        <v>1</v>
      </c>
      <c r="D14" s="146">
        <f>SUM(D6:D13)</f>
        <v>133.35182907260062</v>
      </c>
      <c r="E14" s="148"/>
      <c r="F14" s="148"/>
      <c r="H14" s="234">
        <f>AVERAGE(H13,H15)</f>
        <v>40.703832271345149</v>
      </c>
      <c r="I14" s="234"/>
      <c r="J14" s="234"/>
      <c r="K14" s="234">
        <f>+$F$8</f>
        <v>0.62105167328679434</v>
      </c>
      <c r="L14" s="234"/>
      <c r="M14" s="234"/>
      <c r="N14" s="234"/>
      <c r="O14" s="234"/>
      <c r="P14" s="234"/>
      <c r="Q14" s="234">
        <v>0</v>
      </c>
    </row>
    <row r="15" spans="1:17" x14ac:dyDescent="0.25">
      <c r="H15" s="234">
        <f>+$E$8*100</f>
        <v>71.033726191275548</v>
      </c>
      <c r="I15" s="234"/>
      <c r="J15" s="234"/>
      <c r="K15" s="234">
        <f>+$F$8</f>
        <v>0.62105167328679434</v>
      </c>
      <c r="L15" s="234">
        <v>0</v>
      </c>
      <c r="M15" s="234"/>
      <c r="N15" s="234"/>
      <c r="O15" s="234"/>
      <c r="P15" s="234"/>
      <c r="Q15" s="234">
        <v>0</v>
      </c>
    </row>
    <row r="16" spans="1:17" x14ac:dyDescent="0.25">
      <c r="A16" s="155"/>
      <c r="B16" s="156"/>
      <c r="H16" s="234">
        <f>+$E$8*100</f>
        <v>71.033726191275548</v>
      </c>
      <c r="I16" s="234"/>
      <c r="J16" s="234"/>
      <c r="K16" s="234">
        <v>0</v>
      </c>
      <c r="L16" s="234">
        <f>+$F$9</f>
        <v>0.81120734783262138</v>
      </c>
      <c r="M16" s="234"/>
      <c r="N16" s="234"/>
      <c r="O16" s="234"/>
      <c r="P16" s="234"/>
      <c r="Q16" s="234">
        <v>0</v>
      </c>
    </row>
    <row r="17" spans="8:17" x14ac:dyDescent="0.25">
      <c r="H17" s="234">
        <f>AVERAGE(H16,H18)</f>
        <v>72.410822717394169</v>
      </c>
      <c r="I17" s="234"/>
      <c r="J17" s="234"/>
      <c r="K17" s="234"/>
      <c r="L17" s="234">
        <f>+$F$9</f>
        <v>0.81120734783262138</v>
      </c>
      <c r="M17" s="234"/>
      <c r="N17" s="234"/>
      <c r="O17" s="234"/>
      <c r="P17" s="234"/>
      <c r="Q17" s="234">
        <v>0</v>
      </c>
    </row>
    <row r="18" spans="8:17" x14ac:dyDescent="0.25">
      <c r="H18" s="234">
        <f>+$E$9*100</f>
        <v>73.787919243512789</v>
      </c>
      <c r="I18" s="234"/>
      <c r="J18" s="234"/>
      <c r="K18" s="234"/>
      <c r="L18" s="234">
        <f>+$F$9</f>
        <v>0.81120734783262138</v>
      </c>
      <c r="M18" s="234">
        <v>0</v>
      </c>
      <c r="N18" s="234"/>
      <c r="O18" s="234"/>
      <c r="P18" s="234"/>
      <c r="Q18" s="234">
        <v>0</v>
      </c>
    </row>
    <row r="19" spans="8:17" x14ac:dyDescent="0.25">
      <c r="H19" s="234">
        <f>+$E$9*100</f>
        <v>73.787919243512789</v>
      </c>
      <c r="I19" s="234"/>
      <c r="J19" s="234"/>
      <c r="K19" s="234"/>
      <c r="L19" s="234">
        <v>0</v>
      </c>
      <c r="M19" s="234">
        <f>+$F$10</f>
        <v>0.84789077525488654</v>
      </c>
      <c r="N19" s="234"/>
      <c r="O19" s="234"/>
      <c r="P19" s="234"/>
      <c r="Q19" s="234">
        <v>0</v>
      </c>
    </row>
    <row r="20" spans="8:17" x14ac:dyDescent="0.25">
      <c r="H20" s="234">
        <f>AVERAGE(H19,H21)</f>
        <v>75.878250941500255</v>
      </c>
      <c r="I20" s="234"/>
      <c r="J20" s="234"/>
      <c r="K20" s="234"/>
      <c r="L20" s="234"/>
      <c r="M20" s="234">
        <f>+$F$10</f>
        <v>0.84789077525488654</v>
      </c>
      <c r="N20" s="234"/>
      <c r="O20" s="234"/>
      <c r="P20" s="234"/>
      <c r="Q20" s="234">
        <v>0</v>
      </c>
    </row>
    <row r="21" spans="8:17" x14ac:dyDescent="0.25">
      <c r="H21" s="234">
        <f>+$E$10*100</f>
        <v>77.968582639487721</v>
      </c>
      <c r="I21" s="234"/>
      <c r="J21" s="234"/>
      <c r="K21" s="234"/>
      <c r="L21" s="234"/>
      <c r="M21" s="234">
        <f>+$F$10</f>
        <v>0.84789077525488654</v>
      </c>
      <c r="N21" s="234">
        <v>0</v>
      </c>
      <c r="O21" s="234"/>
      <c r="P21" s="234"/>
      <c r="Q21" s="234">
        <v>0</v>
      </c>
    </row>
    <row r="22" spans="8:17" x14ac:dyDescent="0.25">
      <c r="H22" s="234">
        <f>+$E$10*100</f>
        <v>77.968582639487721</v>
      </c>
      <c r="I22" s="234"/>
      <c r="J22" s="234"/>
      <c r="K22" s="234"/>
      <c r="L22" s="234"/>
      <c r="M22" s="234">
        <v>0</v>
      </c>
      <c r="N22" s="234">
        <f>+$F$11</f>
        <v>1.1111117709268503</v>
      </c>
      <c r="O22" s="234"/>
      <c r="P22" s="234"/>
      <c r="Q22" s="234">
        <v>0</v>
      </c>
    </row>
    <row r="23" spans="8:17" x14ac:dyDescent="0.25">
      <c r="H23" s="234">
        <f>AVERAGE(H22,H24)</f>
        <v>87.951062102694195</v>
      </c>
      <c r="I23" s="234"/>
      <c r="J23" s="234"/>
      <c r="K23" s="234"/>
      <c r="L23" s="234"/>
      <c r="M23" s="234"/>
      <c r="N23" s="234">
        <f>+$F$11</f>
        <v>1.1111117709268503</v>
      </c>
      <c r="O23" s="234"/>
      <c r="P23" s="234"/>
      <c r="Q23" s="234">
        <v>0</v>
      </c>
    </row>
    <row r="24" spans="8:17" x14ac:dyDescent="0.25">
      <c r="H24" s="234">
        <f>+$E$11*100</f>
        <v>97.933541565900669</v>
      </c>
      <c r="I24" s="234"/>
      <c r="J24" s="234"/>
      <c r="K24" s="234"/>
      <c r="L24" s="234"/>
      <c r="M24" s="234"/>
      <c r="N24" s="234">
        <f>+$F$11</f>
        <v>1.1111117709268503</v>
      </c>
      <c r="O24" s="234">
        <v>0</v>
      </c>
      <c r="P24" s="234"/>
      <c r="Q24" s="234">
        <v>0</v>
      </c>
    </row>
    <row r="25" spans="8:17" x14ac:dyDescent="0.25">
      <c r="H25" s="234">
        <f>+$E$11*100</f>
        <v>97.933541565900669</v>
      </c>
      <c r="I25" s="234"/>
      <c r="J25" s="234"/>
      <c r="K25" s="234"/>
      <c r="L25" s="234"/>
      <c r="M25" s="234"/>
      <c r="N25" s="234">
        <v>0</v>
      </c>
      <c r="O25" s="234">
        <f>+$F$12</f>
        <v>1.2572778336792896</v>
      </c>
      <c r="P25" s="234"/>
      <c r="Q25" s="234">
        <v>0</v>
      </c>
    </row>
    <row r="26" spans="8:17" x14ac:dyDescent="0.25">
      <c r="H26" s="234">
        <f>AVERAGE(H25,H27)</f>
        <v>98.850815168462631</v>
      </c>
      <c r="I26" s="234"/>
      <c r="J26" s="234"/>
      <c r="K26" s="234"/>
      <c r="L26" s="234"/>
      <c r="M26" s="234"/>
      <c r="N26" s="234"/>
      <c r="O26" s="234">
        <f>+$F$12</f>
        <v>1.2572778336792896</v>
      </c>
      <c r="P26" s="234"/>
      <c r="Q26" s="234">
        <v>0</v>
      </c>
    </row>
    <row r="27" spans="8:17" x14ac:dyDescent="0.25">
      <c r="H27" s="234">
        <f>+$E$12*100</f>
        <v>99.768088771024594</v>
      </c>
      <c r="I27" s="234"/>
      <c r="J27" s="234"/>
      <c r="K27" s="234"/>
      <c r="L27" s="234"/>
      <c r="M27" s="234"/>
      <c r="N27" s="234"/>
      <c r="O27" s="234">
        <f>+$F$12</f>
        <v>1.2572778336792896</v>
      </c>
      <c r="P27" s="234">
        <v>0</v>
      </c>
      <c r="Q27" s="234">
        <v>0</v>
      </c>
    </row>
    <row r="28" spans="8:17" x14ac:dyDescent="0.25">
      <c r="H28" s="234">
        <f>+$E$12*100</f>
        <v>99.768088771024594</v>
      </c>
      <c r="I28" s="234"/>
      <c r="J28" s="234"/>
      <c r="K28" s="234"/>
      <c r="L28" s="234"/>
      <c r="M28" s="234"/>
      <c r="N28" s="234"/>
      <c r="O28" s="234">
        <v>0</v>
      </c>
      <c r="P28" s="234">
        <f>+$F$13</f>
        <v>128.24570883360136</v>
      </c>
      <c r="Q28" s="234">
        <v>0</v>
      </c>
    </row>
    <row r="29" spans="8:17" x14ac:dyDescent="0.25">
      <c r="H29" s="234">
        <f>AVERAGE(H28,H30)</f>
        <v>99.884044385512297</v>
      </c>
      <c r="I29" s="234"/>
      <c r="J29" s="234"/>
      <c r="K29" s="234"/>
      <c r="L29" s="234"/>
      <c r="M29" s="234"/>
      <c r="N29" s="234"/>
      <c r="O29" s="234"/>
      <c r="P29" s="234">
        <f>+$F$13</f>
        <v>128.24570883360136</v>
      </c>
      <c r="Q29" s="234">
        <v>0</v>
      </c>
    </row>
    <row r="30" spans="8:17" x14ac:dyDescent="0.25">
      <c r="H30" s="234">
        <f>+$E$13*100</f>
        <v>100</v>
      </c>
      <c r="I30" s="234"/>
      <c r="J30" s="234"/>
      <c r="K30" s="234"/>
      <c r="L30" s="234"/>
      <c r="M30" s="234"/>
      <c r="N30" s="234"/>
      <c r="O30" s="234"/>
      <c r="P30" s="234">
        <f>+$F$13</f>
        <v>128.24570883360136</v>
      </c>
      <c r="Q30" s="234">
        <v>0</v>
      </c>
    </row>
    <row r="31" spans="8:17" x14ac:dyDescent="0.25">
      <c r="H31" s="234">
        <f>+$E$13*100</f>
        <v>100</v>
      </c>
      <c r="I31" s="234"/>
      <c r="J31" s="234"/>
      <c r="K31" s="234"/>
      <c r="L31" s="234"/>
      <c r="M31" s="234"/>
      <c r="N31" s="234"/>
      <c r="O31" s="234"/>
      <c r="P31" s="234">
        <v>0</v>
      </c>
      <c r="Q31" s="234">
        <v>0</v>
      </c>
    </row>
  </sheetData>
  <pageMargins left="0.7" right="0.7" top="0.75" bottom="0.75" header="0.3" footer="0.3"/>
  <pageSetup paperSize="9" orientation="portrait"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5795D451-FA4F-44D8-B52D-808F1B6E80B5}"/>
</file>

<file path=customXml/itemProps2.xml><?xml version="1.0" encoding="utf-8"?>
<ds:datastoreItem xmlns:ds="http://schemas.openxmlformats.org/officeDocument/2006/customXml" ds:itemID="{43B2558A-2D15-4C81-9A01-E2D64C611E32}"/>
</file>

<file path=customXml/itemProps3.xml><?xml version="1.0" encoding="utf-8"?>
<ds:datastoreItem xmlns:ds="http://schemas.openxmlformats.org/officeDocument/2006/customXml" ds:itemID="{B8B86E79-FC0C-4564-9C86-49B9DCC7A0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11</vt:i4>
      </vt:variant>
    </vt:vector>
  </HeadingPairs>
  <TitlesOfParts>
    <vt:vector size="33" baseType="lpstr">
      <vt:lpstr>VERSION </vt:lpstr>
      <vt:lpstr>GVA-productivity1</vt:lpstr>
      <vt:lpstr>Rel. prod. cf employment1</vt:lpstr>
      <vt:lpstr>Decomp. of prod change1</vt:lpstr>
      <vt:lpstr>Productivity gaps1</vt:lpstr>
      <vt:lpstr>GVA-productivity2</vt:lpstr>
      <vt:lpstr>Rel. prod. cf employment2</vt:lpstr>
      <vt:lpstr>Decomp.of prod change2</vt:lpstr>
      <vt:lpstr>Productivity gaps2</vt:lpstr>
      <vt:lpstr>GVA-productivity3</vt:lpstr>
      <vt:lpstr>Rel. prod. cf employ3</vt:lpstr>
      <vt:lpstr>Decomp of prod change3</vt:lpstr>
      <vt:lpstr>Productivity gaps3</vt:lpstr>
      <vt:lpstr>Sector emp1</vt:lpstr>
      <vt:lpstr>GVA-productivity4</vt:lpstr>
      <vt:lpstr>Rel. prod. cf employment4</vt:lpstr>
      <vt:lpstr>Decomp. of prod change4</vt:lpstr>
      <vt:lpstr>Productivity gaps4</vt:lpstr>
      <vt:lpstr>Sectoral employ by sex2</vt:lpstr>
      <vt:lpstr>Emp by sex (ILO)</vt:lpstr>
      <vt:lpstr>Agriculture (DHS)</vt:lpstr>
      <vt:lpstr>Wages (ILO)</vt:lpstr>
      <vt:lpstr>'GVA-productivity1'!Labour_productivity</vt:lpstr>
      <vt:lpstr>'GVA-productivity2'!Labour_productivity</vt:lpstr>
      <vt:lpstr>'GVA-productivity3'!Labour_productivity</vt:lpstr>
      <vt:lpstr>'GVA-productivity1'!Persons_engaged</vt:lpstr>
      <vt:lpstr>'GVA-productivity2'!Persons_engaged</vt:lpstr>
      <vt:lpstr>'GVA-productivity3'!Persons_engaged</vt:lpstr>
      <vt:lpstr>'GVA-productivity1'!VA_constant_2005</vt:lpstr>
      <vt:lpstr>'GVA-productivity2'!VA_constant_2005</vt:lpstr>
      <vt:lpstr>'GVA-productivity3'!VA_constant_2005</vt:lpstr>
      <vt:lpstr>'GVA-productivity1'!VA_current</vt:lpstr>
      <vt:lpstr>'GVA-productivity2'!VA_current</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jkennan</dc:creator>
  <cp:lastModifiedBy>jkennan</cp:lastModifiedBy>
  <cp:lastPrinted>2014-12-17T12:30:23Z</cp:lastPrinted>
  <dcterms:created xsi:type="dcterms:W3CDTF">2014-12-17T09:29:00Z</dcterms:created>
  <dcterms:modified xsi:type="dcterms:W3CDTF">2015-07-21T11:05:34Z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