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drawings/drawing7.xml" ContentType="application/vnd.openxmlformats-officedocument.drawing+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52" windowWidth="15072" windowHeight="8916" tabRatio="872"/>
  </bookViews>
  <sheets>
    <sheet name="VERSION" sheetId="8" r:id="rId1"/>
    <sheet name="GVA-productivity1" sheetId="5" r:id="rId2"/>
    <sheet name="Rel. prod. cf employment1" sheetId="1" r:id="rId3"/>
    <sheet name="Decomp.of prod change1" sheetId="2" r:id="rId4"/>
    <sheet name="Productivity gaps1" sheetId="3" r:id="rId5"/>
    <sheet name="Sector emp1" sheetId="6" r:id="rId6"/>
    <sheet name="GVA-productivity2" sheetId="9" r:id="rId7"/>
    <sheet name="Rel. prod. cf employment2" sheetId="10" r:id="rId8"/>
    <sheet name="Decomp. of prod change2" sheetId="11" r:id="rId9"/>
    <sheet name="Productivity gaps2" sheetId="12" r:id="rId10"/>
    <sheet name="Sectoral employ by sex" sheetId="13" r:id="rId11"/>
    <sheet name="Emp by sex (ILO)" sheetId="7" r:id="rId12"/>
  </sheets>
  <externalReferences>
    <externalReference r:id="rId13"/>
  </externalReferences>
  <definedNames>
    <definedName name="_xlnm._FilterDatabase" localSheetId="1" hidden="1">'GVA-productivity1'!$A$7:$AG$71</definedName>
    <definedName name="Decomposition_of_labour_productivity_change" localSheetId="1">'GVA-productivity1'!#REF!</definedName>
    <definedName name="Labour_productivity" localSheetId="1">'GVA-productivity1'!$V$5</definedName>
    <definedName name="Labour_productivity_levels_and_change_over_time" localSheetId="1">'GVA-productivity1'!#REF!</definedName>
    <definedName name="Persons_engaged" localSheetId="1">'GVA-productivity1'!$P$5</definedName>
    <definedName name="Productivity_gaps" localSheetId="1">'GVA-productivity1'!#REF!</definedName>
    <definedName name="Relative_productivity_and_changes_in_employment" localSheetId="1">'GVA-productivity1'!#REF!</definedName>
    <definedName name="Relative_productivity_levels" localSheetId="1">'GVA-productivity1'!#REF!</definedName>
    <definedName name="VA_constant_2005" localSheetId="1">'GVA-productivity1'!$J$5</definedName>
    <definedName name="VA_current" localSheetId="1">'GVA-productivity1'!$D$5</definedName>
  </definedNames>
  <calcPr calcId="145621" calcOnSave="0"/>
</workbook>
</file>

<file path=xl/calcChain.xml><?xml version="1.0" encoding="utf-8"?>
<calcChain xmlns="http://schemas.openxmlformats.org/spreadsheetml/2006/main">
  <c r="C6" i="12" l="1"/>
  <c r="C35" i="11"/>
  <c r="C15" i="11"/>
  <c r="D65" i="10"/>
  <c r="E64" i="10"/>
  <c r="D64" i="10"/>
  <c r="E63" i="10"/>
  <c r="D63" i="10"/>
  <c r="E62" i="10"/>
  <c r="D62" i="10"/>
  <c r="E61" i="10"/>
  <c r="D61" i="10"/>
  <c r="E60" i="10"/>
  <c r="D60" i="10"/>
  <c r="F59" i="10"/>
  <c r="E59" i="10"/>
  <c r="D59" i="10"/>
  <c r="E58" i="10"/>
  <c r="D58" i="10"/>
  <c r="E47" i="10"/>
  <c r="D47" i="10"/>
  <c r="E46" i="10"/>
  <c r="D46" i="10"/>
  <c r="E45" i="10"/>
  <c r="D45" i="10"/>
  <c r="E44" i="10"/>
  <c r="D44" i="10"/>
  <c r="E43" i="10"/>
  <c r="D43" i="10"/>
  <c r="E42" i="10"/>
  <c r="D42" i="10"/>
  <c r="E41" i="10"/>
  <c r="E49" i="10" s="1"/>
  <c r="D41" i="10"/>
  <c r="E30" i="10"/>
  <c r="D30" i="10"/>
  <c r="E29" i="10"/>
  <c r="D29" i="10"/>
  <c r="E28" i="10"/>
  <c r="D28" i="10"/>
  <c r="E27" i="10"/>
  <c r="D27" i="10"/>
  <c r="E26" i="10"/>
  <c r="D26" i="10"/>
  <c r="E25" i="10"/>
  <c r="D25" i="10"/>
  <c r="C25" i="10"/>
  <c r="E24" i="10"/>
  <c r="D24" i="10"/>
  <c r="E13" i="10"/>
  <c r="D13" i="10"/>
  <c r="E12" i="10"/>
  <c r="D12" i="10"/>
  <c r="E11" i="10"/>
  <c r="D11" i="10"/>
  <c r="E10" i="10"/>
  <c r="D10" i="10"/>
  <c r="E9" i="10"/>
  <c r="D9" i="10"/>
  <c r="E8" i="10"/>
  <c r="E15" i="10" s="1"/>
  <c r="D8" i="10"/>
  <c r="E7" i="10"/>
  <c r="D7" i="10"/>
  <c r="D15" i="10" s="1"/>
  <c r="I93" i="9"/>
  <c r="I94" i="9" s="1"/>
  <c r="I95" i="9" s="1"/>
  <c r="I96" i="9" s="1"/>
  <c r="I97" i="9" s="1"/>
  <c r="I98" i="9" s="1"/>
  <c r="I99" i="9" s="1"/>
  <c r="I100" i="9" s="1"/>
  <c r="I101" i="9" s="1"/>
  <c r="I102" i="9" s="1"/>
  <c r="I103" i="9" s="1"/>
  <c r="I104" i="9" s="1"/>
  <c r="I105" i="9" s="1"/>
  <c r="I106" i="9" s="1"/>
  <c r="I107" i="9" s="1"/>
  <c r="I89" i="9"/>
  <c r="I90" i="9" s="1"/>
  <c r="I91" i="9" s="1"/>
  <c r="I92" i="9" s="1"/>
  <c r="I87" i="9"/>
  <c r="I88" i="9" s="1"/>
  <c r="I86" i="9"/>
  <c r="J81" i="9"/>
  <c r="G81" i="9"/>
  <c r="E81" i="9"/>
  <c r="I80" i="9"/>
  <c r="G80" i="9"/>
  <c r="N79" i="9"/>
  <c r="B46" i="11" s="1"/>
  <c r="I79" i="9"/>
  <c r="N78" i="9"/>
  <c r="B45" i="11" s="1"/>
  <c r="J78" i="9"/>
  <c r="H78" i="9"/>
  <c r="J77" i="9"/>
  <c r="H77" i="9"/>
  <c r="N76" i="9"/>
  <c r="B43" i="11" s="1"/>
  <c r="J76" i="9"/>
  <c r="N75" i="9"/>
  <c r="B42" i="11" s="1"/>
  <c r="J75" i="9"/>
  <c r="H75" i="9"/>
  <c r="H69" i="9"/>
  <c r="M67" i="9"/>
  <c r="C30" i="10" s="1"/>
  <c r="I67" i="9"/>
  <c r="N81" i="9" s="1"/>
  <c r="B48" i="11" s="1"/>
  <c r="H67" i="9"/>
  <c r="G67" i="9"/>
  <c r="F67" i="9"/>
  <c r="E67" i="9"/>
  <c r="M66" i="9"/>
  <c r="C29" i="10" s="1"/>
  <c r="I66" i="9"/>
  <c r="H66" i="9"/>
  <c r="G66" i="9"/>
  <c r="F66" i="9"/>
  <c r="E66" i="9"/>
  <c r="E80" i="9" s="1"/>
  <c r="M65" i="9"/>
  <c r="C28" i="10" s="1"/>
  <c r="I65" i="9"/>
  <c r="J79" i="9" s="1"/>
  <c r="H65" i="9"/>
  <c r="G65" i="9"/>
  <c r="F65" i="9"/>
  <c r="E65" i="9"/>
  <c r="E79" i="9" s="1"/>
  <c r="M64" i="9"/>
  <c r="C27" i="10" s="1"/>
  <c r="I64" i="9"/>
  <c r="I78" i="9" s="1"/>
  <c r="H64" i="9"/>
  <c r="G64" i="9"/>
  <c r="G78" i="9" s="1"/>
  <c r="F64" i="9"/>
  <c r="E64" i="9"/>
  <c r="E78" i="9" s="1"/>
  <c r="M63" i="9"/>
  <c r="C26" i="10" s="1"/>
  <c r="I63" i="9"/>
  <c r="I77" i="9" s="1"/>
  <c r="H63" i="9"/>
  <c r="G63" i="9"/>
  <c r="G77" i="9" s="1"/>
  <c r="F63" i="9"/>
  <c r="F77" i="9" s="1"/>
  <c r="E63" i="9"/>
  <c r="E77" i="9" s="1"/>
  <c r="M62" i="9"/>
  <c r="I62" i="9"/>
  <c r="I76" i="9" s="1"/>
  <c r="H62" i="9"/>
  <c r="G62" i="9"/>
  <c r="G76" i="9" s="1"/>
  <c r="F62" i="9"/>
  <c r="E62" i="9"/>
  <c r="E76" i="9" s="1"/>
  <c r="M61" i="9"/>
  <c r="C24" i="10" s="1"/>
  <c r="I61" i="9"/>
  <c r="I75" i="9" s="1"/>
  <c r="H61" i="9"/>
  <c r="G61" i="9"/>
  <c r="G75" i="9" s="1"/>
  <c r="F61" i="9"/>
  <c r="E61" i="9"/>
  <c r="E75" i="9" s="1"/>
  <c r="I56" i="9"/>
  <c r="E65" i="10" s="1"/>
  <c r="H56" i="9"/>
  <c r="G56" i="9"/>
  <c r="F56" i="9"/>
  <c r="E56" i="9"/>
  <c r="D14" i="10" s="1"/>
  <c r="O54" i="9"/>
  <c r="M54" i="9"/>
  <c r="K54" i="9"/>
  <c r="N53" i="9"/>
  <c r="F63" i="10" s="1"/>
  <c r="M53" i="9"/>
  <c r="O52" i="9"/>
  <c r="M52" i="9"/>
  <c r="K52" i="9"/>
  <c r="O51" i="9"/>
  <c r="N51" i="9"/>
  <c r="M51" i="9"/>
  <c r="K51" i="9"/>
  <c r="F10" i="10" s="1"/>
  <c r="O50" i="9"/>
  <c r="M50" i="9"/>
  <c r="K50" i="9"/>
  <c r="N49" i="9"/>
  <c r="M49" i="9"/>
  <c r="G25" i="10" s="1"/>
  <c r="O48" i="9"/>
  <c r="M48" i="9"/>
  <c r="K48" i="9"/>
  <c r="I43" i="9"/>
  <c r="I69" i="9" s="1"/>
  <c r="O67" i="9" s="1"/>
  <c r="H43" i="9"/>
  <c r="N39" i="9" s="1"/>
  <c r="G43" i="9"/>
  <c r="G69" i="9" s="1"/>
  <c r="F43" i="9"/>
  <c r="F69" i="9" s="1"/>
  <c r="E43" i="9"/>
  <c r="E69" i="9" s="1"/>
  <c r="D43" i="9"/>
  <c r="J41" i="9" s="1"/>
  <c r="O41" i="9"/>
  <c r="L41" i="9"/>
  <c r="K41" i="9"/>
  <c r="O40" i="9"/>
  <c r="N40" i="9"/>
  <c r="M40" i="9"/>
  <c r="K40" i="9"/>
  <c r="J40" i="9"/>
  <c r="O39" i="9"/>
  <c r="L39" i="9"/>
  <c r="K39" i="9"/>
  <c r="J39" i="9"/>
  <c r="O38" i="9"/>
  <c r="M38" i="9"/>
  <c r="L38" i="9"/>
  <c r="K38" i="9"/>
  <c r="O37" i="9"/>
  <c r="N37" i="9"/>
  <c r="K37" i="9"/>
  <c r="J37" i="9"/>
  <c r="O36" i="9"/>
  <c r="M36" i="9"/>
  <c r="L36" i="9"/>
  <c r="K36" i="9"/>
  <c r="O35" i="9"/>
  <c r="O43" i="9" s="1"/>
  <c r="N35" i="9"/>
  <c r="L35" i="9"/>
  <c r="K35" i="9"/>
  <c r="K43" i="9" s="1"/>
  <c r="O34" i="9"/>
  <c r="N34" i="9"/>
  <c r="M34" i="9"/>
  <c r="L34" i="9"/>
  <c r="K34" i="9"/>
  <c r="J34" i="9"/>
  <c r="I29" i="9"/>
  <c r="H29" i="9"/>
  <c r="G29" i="9"/>
  <c r="M27" i="9" s="1"/>
  <c r="F29" i="9"/>
  <c r="L27" i="9" s="1"/>
  <c r="E29" i="9"/>
  <c r="D29" i="9"/>
  <c r="O27" i="9"/>
  <c r="N27" i="9"/>
  <c r="K27" i="9"/>
  <c r="J27" i="9"/>
  <c r="O26" i="9"/>
  <c r="N26" i="9"/>
  <c r="M26" i="9"/>
  <c r="K26" i="9"/>
  <c r="J26" i="9"/>
  <c r="O25" i="9"/>
  <c r="N25" i="9"/>
  <c r="L25" i="9"/>
  <c r="K25" i="9"/>
  <c r="J25" i="9"/>
  <c r="O24" i="9"/>
  <c r="N24" i="9"/>
  <c r="M24" i="9"/>
  <c r="K24" i="9"/>
  <c r="J24" i="9"/>
  <c r="O23" i="9"/>
  <c r="N23" i="9"/>
  <c r="K23" i="9"/>
  <c r="J23" i="9"/>
  <c r="O22" i="9"/>
  <c r="N22" i="9"/>
  <c r="M22" i="9"/>
  <c r="K22" i="9"/>
  <c r="J22" i="9"/>
  <c r="O21" i="9"/>
  <c r="N21" i="9"/>
  <c r="K21" i="9"/>
  <c r="J21" i="9"/>
  <c r="J29" i="9" s="1"/>
  <c r="O20" i="9"/>
  <c r="O29" i="9" s="1"/>
  <c r="N20" i="9"/>
  <c r="N29" i="9" s="1"/>
  <c r="M20" i="9"/>
  <c r="L20" i="9"/>
  <c r="K20" i="9"/>
  <c r="K29" i="9" s="1"/>
  <c r="J20" i="9"/>
  <c r="D32" i="10" l="1"/>
  <c r="E66" i="10"/>
  <c r="E32" i="10"/>
  <c r="D49" i="10"/>
  <c r="C64" i="10"/>
  <c r="D9" i="12"/>
  <c r="F9" i="12" s="1"/>
  <c r="F83" i="9"/>
  <c r="L69" i="9"/>
  <c r="C14" i="10" s="1"/>
  <c r="K83" i="9"/>
  <c r="B19" i="11" s="1"/>
  <c r="K86" i="9"/>
  <c r="K87" i="9" s="1"/>
  <c r="K88" i="9" s="1"/>
  <c r="K89" i="9" s="1"/>
  <c r="K90" i="9" s="1"/>
  <c r="K91" i="9" s="1"/>
  <c r="K92" i="9" s="1"/>
  <c r="K93" i="9" s="1"/>
  <c r="K94" i="9" s="1"/>
  <c r="K84" i="9" s="1"/>
  <c r="C8" i="12"/>
  <c r="G62" i="10"/>
  <c r="D46" i="11"/>
  <c r="D31" i="10"/>
  <c r="L54" i="9"/>
  <c r="L50" i="9"/>
  <c r="L52" i="9"/>
  <c r="L48" i="9"/>
  <c r="K75" i="9"/>
  <c r="B12" i="11" s="1"/>
  <c r="L61" i="9"/>
  <c r="C7" i="10" s="1"/>
  <c r="K76" i="9"/>
  <c r="B13" i="11" s="1"/>
  <c r="L62" i="9"/>
  <c r="C8" i="10" s="1"/>
  <c r="K62" i="9"/>
  <c r="K78" i="9"/>
  <c r="B15" i="11" s="1"/>
  <c r="F15" i="11" s="1"/>
  <c r="L64" i="9"/>
  <c r="C10" i="10" s="1"/>
  <c r="L65" i="9"/>
  <c r="C11" i="10" s="1"/>
  <c r="K65" i="9"/>
  <c r="F80" i="9"/>
  <c r="K80" i="9"/>
  <c r="B17" i="11" s="1"/>
  <c r="L66" i="9"/>
  <c r="C12" i="10" s="1"/>
  <c r="K66" i="9"/>
  <c r="L67" i="9"/>
  <c r="C13" i="10" s="1"/>
  <c r="K81" i="9"/>
  <c r="B18" i="11" s="1"/>
  <c r="F81" i="9"/>
  <c r="K67" i="9"/>
  <c r="N69" i="9"/>
  <c r="C48" i="10" s="1"/>
  <c r="F75" i="9"/>
  <c r="L76" i="9"/>
  <c r="B23" i="11" s="1"/>
  <c r="F79" i="9"/>
  <c r="H83" i="9"/>
  <c r="L23" i="9"/>
  <c r="L26" i="9"/>
  <c r="J35" i="9"/>
  <c r="J38" i="9"/>
  <c r="J43" i="9" s="1"/>
  <c r="N38" i="9"/>
  <c r="N43" i="9" s="1"/>
  <c r="N41" i="9"/>
  <c r="C32" i="11"/>
  <c r="D22" i="11"/>
  <c r="F41" i="10"/>
  <c r="G24" i="10"/>
  <c r="D33" i="11"/>
  <c r="G42" i="10"/>
  <c r="B42" i="10" s="1"/>
  <c r="C43" i="11"/>
  <c r="F43" i="11" s="1"/>
  <c r="L53" i="9"/>
  <c r="G30" i="10"/>
  <c r="C38" i="11"/>
  <c r="F47" i="10"/>
  <c r="D28" i="11"/>
  <c r="M56" i="9"/>
  <c r="K69" i="9"/>
  <c r="F76" i="9"/>
  <c r="L77" i="9"/>
  <c r="B24" i="11" s="1"/>
  <c r="L21" i="9"/>
  <c r="L29" i="9" s="1"/>
  <c r="L24" i="9"/>
  <c r="J36" i="9"/>
  <c r="N36" i="9"/>
  <c r="L37" i="9"/>
  <c r="L43" i="9" s="1"/>
  <c r="L40" i="9"/>
  <c r="L83" i="9"/>
  <c r="B29" i="11" s="1"/>
  <c r="G83" i="9"/>
  <c r="G58" i="10"/>
  <c r="D42" i="11"/>
  <c r="C7" i="12"/>
  <c r="C14" i="11"/>
  <c r="F9" i="10"/>
  <c r="L51" i="9"/>
  <c r="C16" i="11"/>
  <c r="F11" i="10"/>
  <c r="G64" i="10"/>
  <c r="C9" i="12"/>
  <c r="D48" i="11"/>
  <c r="E48" i="10"/>
  <c r="N52" i="9"/>
  <c r="N48" i="9"/>
  <c r="N54" i="9"/>
  <c r="N50" i="9"/>
  <c r="M75" i="9"/>
  <c r="B32" i="11" s="1"/>
  <c r="F32" i="11" s="1"/>
  <c r="N61" i="9"/>
  <c r="C41" i="10" s="1"/>
  <c r="O61" i="9"/>
  <c r="M76" i="9"/>
  <c r="B33" i="11" s="1"/>
  <c r="N62" i="9"/>
  <c r="C42" i="10" s="1"/>
  <c r="O62" i="9"/>
  <c r="M77" i="9"/>
  <c r="B34" i="11" s="1"/>
  <c r="N63" i="9"/>
  <c r="C43" i="10" s="1"/>
  <c r="O63" i="9"/>
  <c r="M78" i="9"/>
  <c r="B35" i="11" s="1"/>
  <c r="F35" i="11" s="1"/>
  <c r="N64" i="9"/>
  <c r="C44" i="10" s="1"/>
  <c r="O64" i="9"/>
  <c r="H79" i="9"/>
  <c r="M79" i="9"/>
  <c r="B36" i="11" s="1"/>
  <c r="F36" i="11" s="1"/>
  <c r="N65" i="9"/>
  <c r="C45" i="10" s="1"/>
  <c r="O65" i="9"/>
  <c r="M80" i="9"/>
  <c r="B37" i="11" s="1"/>
  <c r="H80" i="9"/>
  <c r="N66" i="9"/>
  <c r="C46" i="10" s="1"/>
  <c r="O66" i="9"/>
  <c r="H81" i="9"/>
  <c r="N67" i="9"/>
  <c r="C47" i="10" s="1"/>
  <c r="M69" i="9"/>
  <c r="C31" i="10" s="1"/>
  <c r="H76" i="9"/>
  <c r="N77" i="9"/>
  <c r="B44" i="11" s="1"/>
  <c r="L78" i="9"/>
  <c r="B25" i="11" s="1"/>
  <c r="K79" i="9"/>
  <c r="B16" i="11" s="1"/>
  <c r="L80" i="9"/>
  <c r="B27" i="11" s="1"/>
  <c r="M81" i="9"/>
  <c r="B38" i="11" s="1"/>
  <c r="F38" i="11" s="1"/>
  <c r="M83" i="9"/>
  <c r="B39" i="11" s="1"/>
  <c r="D66" i="10"/>
  <c r="N83" i="9"/>
  <c r="B49" i="11" s="1"/>
  <c r="J83" i="9"/>
  <c r="J86" i="9" s="1"/>
  <c r="J87" i="9" s="1"/>
  <c r="J88" i="9" s="1"/>
  <c r="J89" i="9" s="1"/>
  <c r="J90" i="9" s="1"/>
  <c r="J91" i="9" s="1"/>
  <c r="J92" i="9" s="1"/>
  <c r="J93" i="9" s="1"/>
  <c r="J94" i="9" s="1"/>
  <c r="J95" i="9" s="1"/>
  <c r="J96" i="9" s="1"/>
  <c r="J97" i="9" s="1"/>
  <c r="J98" i="9" s="1"/>
  <c r="J99" i="9" s="1"/>
  <c r="J100" i="9" s="1"/>
  <c r="J101" i="9" s="1"/>
  <c r="J102" i="9" s="1"/>
  <c r="J103" i="9" s="1"/>
  <c r="J104" i="9" s="1"/>
  <c r="J105" i="9" s="1"/>
  <c r="J106" i="9" s="1"/>
  <c r="J107" i="9" s="1"/>
  <c r="J84" i="9" s="1"/>
  <c r="I83" i="9"/>
  <c r="C12" i="11"/>
  <c r="F7" i="10"/>
  <c r="C10" i="12"/>
  <c r="G60" i="10"/>
  <c r="D44" i="11"/>
  <c r="D35" i="11"/>
  <c r="E35" i="11" s="1"/>
  <c r="G44" i="10"/>
  <c r="C45" i="11"/>
  <c r="F61" i="10"/>
  <c r="C18" i="11"/>
  <c r="F13" i="10"/>
  <c r="K61" i="9"/>
  <c r="K77" i="9"/>
  <c r="B14" i="11" s="1"/>
  <c r="F14" i="11" s="1"/>
  <c r="L63" i="9"/>
  <c r="C9" i="10" s="1"/>
  <c r="K63" i="9"/>
  <c r="K64" i="9"/>
  <c r="L22" i="9"/>
  <c r="L49" i="9"/>
  <c r="C34" i="11"/>
  <c r="F43" i="10"/>
  <c r="D24" i="11"/>
  <c r="G26" i="10"/>
  <c r="C36" i="11"/>
  <c r="G28" i="10"/>
  <c r="D26" i="11"/>
  <c r="F45" i="10"/>
  <c r="D37" i="11"/>
  <c r="G46" i="10"/>
  <c r="C47" i="11"/>
  <c r="O69" i="9"/>
  <c r="C65" i="10" s="1"/>
  <c r="L75" i="9"/>
  <c r="B22" i="11" s="1"/>
  <c r="F78" i="9"/>
  <c r="F45" i="11"/>
  <c r="E83" i="9"/>
  <c r="E14" i="10"/>
  <c r="M21" i="9"/>
  <c r="M23" i="9"/>
  <c r="M29" i="9" s="1"/>
  <c r="M25" i="9"/>
  <c r="M35" i="9"/>
  <c r="M43" i="9" s="1"/>
  <c r="M37" i="9"/>
  <c r="M39" i="9"/>
  <c r="M41" i="9"/>
  <c r="K49" i="9"/>
  <c r="K56" i="9" s="1"/>
  <c r="O49" i="9"/>
  <c r="D25" i="11"/>
  <c r="G27" i="10"/>
  <c r="F44" i="10"/>
  <c r="K53" i="9"/>
  <c r="O53" i="9"/>
  <c r="E31" i="10"/>
  <c r="D48" i="10"/>
  <c r="E6" i="12"/>
  <c r="D23" i="11"/>
  <c r="C33" i="11"/>
  <c r="F42" i="10"/>
  <c r="D45" i="11"/>
  <c r="E45" i="11" s="1"/>
  <c r="G61" i="10"/>
  <c r="B61" i="10" s="1"/>
  <c r="D27" i="11"/>
  <c r="G29" i="10"/>
  <c r="C37" i="11"/>
  <c r="F46" i="10"/>
  <c r="L79" i="9"/>
  <c r="B26" i="11" s="1"/>
  <c r="N80" i="9"/>
  <c r="B47" i="11" s="1"/>
  <c r="J80" i="9"/>
  <c r="L81" i="9"/>
  <c r="B28" i="11" s="1"/>
  <c r="G79" i="9"/>
  <c r="I81" i="9"/>
  <c r="F14" i="10" l="1"/>
  <c r="C19" i="11"/>
  <c r="B46" i="10"/>
  <c r="F25" i="11"/>
  <c r="G47" i="10"/>
  <c r="B47" i="10" s="1"/>
  <c r="C48" i="11"/>
  <c r="F48" i="11" s="1"/>
  <c r="D38" i="11"/>
  <c r="E38" i="11" s="1"/>
  <c r="F64" i="10"/>
  <c r="B64" i="10" s="1"/>
  <c r="F49" i="10"/>
  <c r="F18" i="11"/>
  <c r="L95" i="9"/>
  <c r="L96" i="9" s="1"/>
  <c r="L97" i="9" s="1"/>
  <c r="L98" i="9" s="1"/>
  <c r="L99" i="9" s="1"/>
  <c r="L84" i="9" s="1"/>
  <c r="C12" i="12"/>
  <c r="D47" i="11"/>
  <c r="E47" i="11" s="1"/>
  <c r="G63" i="10"/>
  <c r="B63" i="10" s="1"/>
  <c r="F37" i="11"/>
  <c r="C60" i="10"/>
  <c r="D10" i="12"/>
  <c r="F10" i="12" s="1"/>
  <c r="C42" i="11"/>
  <c r="F42" i="11" s="1"/>
  <c r="G41" i="10"/>
  <c r="D32" i="11"/>
  <c r="E32" i="11" s="1"/>
  <c r="F58" i="10"/>
  <c r="B58" i="10" s="1"/>
  <c r="N56" i="9"/>
  <c r="D15" i="11"/>
  <c r="E15" i="11" s="1"/>
  <c r="F27" i="10"/>
  <c r="B27" i="10" s="1"/>
  <c r="C25" i="11"/>
  <c r="G10" i="10"/>
  <c r="B10" i="10" s="1"/>
  <c r="E42" i="11"/>
  <c r="E22" i="11"/>
  <c r="C24" i="11"/>
  <c r="F26" i="10"/>
  <c r="B26" i="10" s="1"/>
  <c r="D14" i="11"/>
  <c r="E14" i="11" s="1"/>
  <c r="G9" i="10"/>
  <c r="B9" i="10" s="1"/>
  <c r="F47" i="11"/>
  <c r="F12" i="10"/>
  <c r="C17" i="11"/>
  <c r="C11" i="12"/>
  <c r="C13" i="12" s="1"/>
  <c r="D43" i="11"/>
  <c r="E43" i="11" s="1"/>
  <c r="G59" i="10"/>
  <c r="B59" i="10" s="1"/>
  <c r="D13" i="11"/>
  <c r="E13" i="11" s="1"/>
  <c r="C23" i="11"/>
  <c r="F23" i="11" s="1"/>
  <c r="F25" i="10"/>
  <c r="B25" i="10" s="1"/>
  <c r="G8" i="10"/>
  <c r="B60" i="10"/>
  <c r="F27" i="11"/>
  <c r="C63" i="10"/>
  <c r="D12" i="12"/>
  <c r="F12" i="12" s="1"/>
  <c r="C62" i="10"/>
  <c r="D8" i="12"/>
  <c r="F8" i="12" s="1"/>
  <c r="D6" i="12"/>
  <c r="F6" i="12" s="1"/>
  <c r="C61" i="10"/>
  <c r="F33" i="11"/>
  <c r="F39" i="11" s="1"/>
  <c r="O56" i="9"/>
  <c r="C46" i="11"/>
  <c r="F46" i="11" s="1"/>
  <c r="G45" i="10"/>
  <c r="B45" i="10" s="1"/>
  <c r="D36" i="11"/>
  <c r="E36" i="11" s="1"/>
  <c r="F62" i="10"/>
  <c r="B62" i="10" s="1"/>
  <c r="M100" i="9"/>
  <c r="M101" i="9" s="1"/>
  <c r="M102" i="9" s="1"/>
  <c r="M103" i="9" s="1"/>
  <c r="M104" i="9" s="1"/>
  <c r="M84" i="9" s="1"/>
  <c r="F24" i="11"/>
  <c r="D29" i="11"/>
  <c r="G31" i="10"/>
  <c r="C39" i="11"/>
  <c r="F48" i="10"/>
  <c r="E33" i="11"/>
  <c r="F12" i="11"/>
  <c r="C28" i="11"/>
  <c r="D18" i="11"/>
  <c r="E18" i="11" s="1"/>
  <c r="G13" i="10"/>
  <c r="B13" i="10" s="1"/>
  <c r="F30" i="10"/>
  <c r="B30" i="10" s="1"/>
  <c r="L17" i="12"/>
  <c r="L18" i="12"/>
  <c r="L16" i="12"/>
  <c r="F28" i="11"/>
  <c r="C59" i="10"/>
  <c r="D11" i="12"/>
  <c r="F11" i="12" s="1"/>
  <c r="E48" i="11"/>
  <c r="F17" i="11"/>
  <c r="F13" i="11"/>
  <c r="C26" i="11"/>
  <c r="D16" i="11"/>
  <c r="E16" i="11" s="1"/>
  <c r="F28" i="10"/>
  <c r="B28" i="10" s="1"/>
  <c r="G11" i="10"/>
  <c r="B11" i="10" s="1"/>
  <c r="E46" i="11"/>
  <c r="H10" i="12"/>
  <c r="H9" i="12"/>
  <c r="H8" i="12" s="1"/>
  <c r="E7" i="12"/>
  <c r="E25" i="11"/>
  <c r="E37" i="11"/>
  <c r="F26" i="11"/>
  <c r="C13" i="11"/>
  <c r="F8" i="10"/>
  <c r="F15" i="10" s="1"/>
  <c r="E26" i="11"/>
  <c r="E24" i="11"/>
  <c r="B44" i="10"/>
  <c r="F16" i="11"/>
  <c r="F34" i="11"/>
  <c r="D7" i="12"/>
  <c r="F7" i="12" s="1"/>
  <c r="C58" i="10"/>
  <c r="G43" i="10"/>
  <c r="B43" i="10" s="1"/>
  <c r="C44" i="11"/>
  <c r="F44" i="11" s="1"/>
  <c r="D34" i="11"/>
  <c r="E34" i="11" s="1"/>
  <c r="F60" i="10"/>
  <c r="E28" i="11"/>
  <c r="D17" i="11"/>
  <c r="E17" i="11" s="1"/>
  <c r="C27" i="11"/>
  <c r="E27" i="11" s="1"/>
  <c r="F29" i="10"/>
  <c r="B29" i="10" s="1"/>
  <c r="G12" i="10"/>
  <c r="B12" i="10" s="1"/>
  <c r="G32" i="10"/>
  <c r="N105" i="9"/>
  <c r="N106" i="9" s="1"/>
  <c r="N107" i="9" s="1"/>
  <c r="N84" i="9" s="1"/>
  <c r="C22" i="11"/>
  <c r="F22" i="11" s="1"/>
  <c r="D12" i="11"/>
  <c r="E12" i="11" s="1"/>
  <c r="F24" i="10"/>
  <c r="L56" i="9"/>
  <c r="G7" i="10"/>
  <c r="B7" i="11" l="1"/>
  <c r="C7" i="11"/>
  <c r="F29" i="11"/>
  <c r="F19" i="11"/>
  <c r="K15" i="12"/>
  <c r="K13" i="12"/>
  <c r="K14" i="12"/>
  <c r="M21" i="12"/>
  <c r="M19" i="12"/>
  <c r="M20" i="12"/>
  <c r="E23" i="11"/>
  <c r="B7" i="10"/>
  <c r="G15" i="10"/>
  <c r="E44" i="11"/>
  <c r="G49" i="10"/>
  <c r="B41" i="10"/>
  <c r="D19" i="11"/>
  <c r="E19" i="11" s="1"/>
  <c r="F31" i="10"/>
  <c r="B31" i="10" s="1"/>
  <c r="G14" i="10"/>
  <c r="B14" i="10" s="1"/>
  <c r="C29" i="11"/>
  <c r="E29" i="11" s="1"/>
  <c r="G66" i="10"/>
  <c r="O27" i="12"/>
  <c r="O25" i="12"/>
  <c r="O26" i="12"/>
  <c r="B8" i="10"/>
  <c r="D39" i="11"/>
  <c r="E39" i="11" s="1"/>
  <c r="G48" i="10"/>
  <c r="B48" i="10" s="1"/>
  <c r="F65" i="10"/>
  <c r="C49" i="11"/>
  <c r="F49" i="11"/>
  <c r="H12" i="12"/>
  <c r="H11" i="12" s="1"/>
  <c r="E8" i="12"/>
  <c r="H13" i="12"/>
  <c r="D49" i="11"/>
  <c r="E49" i="11" s="1"/>
  <c r="G65" i="10"/>
  <c r="F32" i="10"/>
  <c r="B24" i="10"/>
  <c r="J12" i="12"/>
  <c r="J10" i="12"/>
  <c r="J11" i="12"/>
  <c r="N23" i="12"/>
  <c r="N24" i="12"/>
  <c r="N22" i="12"/>
  <c r="I8" i="12"/>
  <c r="I9" i="12"/>
  <c r="I7" i="12"/>
  <c r="F66" i="10"/>
  <c r="B65" i="10" l="1"/>
  <c r="B8" i="11"/>
  <c r="C8" i="11"/>
  <c r="B5" i="11"/>
  <c r="C5" i="11"/>
  <c r="E9" i="12"/>
  <c r="H16" i="12"/>
  <c r="H15" i="12"/>
  <c r="H14" i="12" s="1"/>
  <c r="B6" i="11"/>
  <c r="C6" i="11"/>
  <c r="H17" i="12" l="1"/>
  <c r="E10" i="12"/>
  <c r="H18" i="12"/>
  <c r="H19" i="12"/>
  <c r="E11" i="12" l="1"/>
  <c r="H22" i="12"/>
  <c r="H21" i="12"/>
  <c r="H20" i="12"/>
  <c r="H23" i="12" l="1"/>
  <c r="E12" i="12"/>
  <c r="H24" i="12"/>
  <c r="H25" i="12"/>
  <c r="H28" i="12" l="1"/>
  <c r="H27" i="12"/>
  <c r="H26" i="12" s="1"/>
  <c r="J11" i="7" l="1"/>
  <c r="J10" i="7"/>
  <c r="J9" i="7"/>
  <c r="J8" i="7"/>
  <c r="J7" i="7"/>
  <c r="E48" i="1" l="1"/>
  <c r="E47" i="1"/>
  <c r="E46" i="1"/>
  <c r="E45" i="1"/>
  <c r="E44" i="1"/>
  <c r="E43" i="1"/>
  <c r="E42" i="1"/>
  <c r="E41" i="1"/>
  <c r="E40" i="1"/>
  <c r="E39" i="1"/>
  <c r="D48" i="1"/>
  <c r="D47" i="1"/>
  <c r="D46" i="1"/>
  <c r="D45" i="1"/>
  <c r="D44" i="1"/>
  <c r="D43" i="1"/>
  <c r="D42" i="1"/>
  <c r="D41" i="1"/>
  <c r="D40" i="1"/>
  <c r="D39" i="1"/>
  <c r="E31" i="1"/>
  <c r="E30" i="1"/>
  <c r="E29" i="1"/>
  <c r="E28" i="1"/>
  <c r="E27" i="1"/>
  <c r="E26" i="1"/>
  <c r="E25" i="1"/>
  <c r="E24" i="1"/>
  <c r="E23" i="1"/>
  <c r="E22" i="1"/>
  <c r="D31" i="1"/>
  <c r="D30" i="1"/>
  <c r="D29" i="1"/>
  <c r="D28" i="1"/>
  <c r="D27" i="1"/>
  <c r="D26" i="1"/>
  <c r="D25" i="1"/>
  <c r="D24" i="1"/>
  <c r="D23" i="1"/>
  <c r="D22" i="1"/>
  <c r="E15" i="1"/>
  <c r="E14" i="1"/>
  <c r="E13" i="1"/>
  <c r="E12" i="1"/>
  <c r="E11" i="1"/>
  <c r="E10" i="1"/>
  <c r="E9" i="1"/>
  <c r="E8" i="1"/>
  <c r="E7" i="1"/>
  <c r="E6" i="1"/>
  <c r="D15" i="1"/>
  <c r="D14" i="1"/>
  <c r="D13" i="1"/>
  <c r="D12" i="1"/>
  <c r="D11" i="1"/>
  <c r="D10" i="1"/>
  <c r="D9" i="1"/>
  <c r="D8" i="1"/>
  <c r="D7" i="1"/>
  <c r="D6" i="1"/>
  <c r="B9" i="5"/>
  <c r="B10" i="5" s="1"/>
  <c r="AA28" i="5"/>
  <c r="Z28" i="5"/>
  <c r="Y28" i="5"/>
  <c r="X28" i="5"/>
  <c r="W28" i="5"/>
  <c r="V28" i="5"/>
  <c r="U27" i="5"/>
  <c r="O48" i="5" s="1"/>
  <c r="C10" i="3" s="1"/>
  <c r="T27" i="5"/>
  <c r="D49" i="1" s="1"/>
  <c r="F49" i="1" s="1"/>
  <c r="S27" i="5"/>
  <c r="E16" i="1" s="1"/>
  <c r="R27" i="5"/>
  <c r="D16" i="1" s="1"/>
  <c r="F16" i="1" s="1"/>
  <c r="Q27" i="5"/>
  <c r="K48" i="5" s="1"/>
  <c r="P27" i="5"/>
  <c r="J43" i="5" s="1"/>
  <c r="O27" i="5"/>
  <c r="N27" i="5"/>
  <c r="M27" i="5"/>
  <c r="L27" i="5"/>
  <c r="K27" i="5"/>
  <c r="J27" i="5"/>
  <c r="I27" i="5"/>
  <c r="I50" i="5" s="1"/>
  <c r="H27" i="5"/>
  <c r="H38" i="5" s="1"/>
  <c r="G27" i="5"/>
  <c r="G37" i="5" s="1"/>
  <c r="F27" i="5"/>
  <c r="F43" i="5" s="1"/>
  <c r="E27" i="5"/>
  <c r="E50" i="5" s="1"/>
  <c r="D27" i="5"/>
  <c r="D44" i="5" s="1"/>
  <c r="U26" i="5"/>
  <c r="U23" i="5" s="1"/>
  <c r="T26" i="5"/>
  <c r="S26" i="5"/>
  <c r="S23" i="5" s="1"/>
  <c r="R26" i="5"/>
  <c r="Q26" i="5"/>
  <c r="Q23" i="5" s="1"/>
  <c r="P26" i="5"/>
  <c r="O26" i="5"/>
  <c r="N26" i="5"/>
  <c r="N23" i="5" s="1"/>
  <c r="M26" i="5"/>
  <c r="M23" i="5" s="1"/>
  <c r="L26" i="5"/>
  <c r="L23" i="5" s="1"/>
  <c r="K26" i="5"/>
  <c r="J26" i="5"/>
  <c r="J23" i="5" s="1"/>
  <c r="I26" i="5"/>
  <c r="H26" i="5"/>
  <c r="G26" i="5"/>
  <c r="F26" i="5"/>
  <c r="F23" i="5" s="1"/>
  <c r="E26" i="5"/>
  <c r="D26" i="5"/>
  <c r="D23" i="5" s="1"/>
  <c r="AA25" i="5"/>
  <c r="Z25" i="5"/>
  <c r="Y25" i="5"/>
  <c r="X25" i="5"/>
  <c r="W25" i="5"/>
  <c r="W26" i="5" s="1"/>
  <c r="V25" i="5"/>
  <c r="V26" i="5" s="1"/>
  <c r="D70" i="5" s="1"/>
  <c r="AA24" i="5"/>
  <c r="Z24" i="5"/>
  <c r="Y24" i="5"/>
  <c r="X24" i="5"/>
  <c r="W24" i="5"/>
  <c r="V24" i="5"/>
  <c r="U22" i="5"/>
  <c r="O46" i="5" s="1"/>
  <c r="D46" i="2" s="1"/>
  <c r="T22" i="5"/>
  <c r="S22" i="5"/>
  <c r="M46" i="5" s="1"/>
  <c r="D18" i="2" s="1"/>
  <c r="R22" i="5"/>
  <c r="L46" i="5" s="1"/>
  <c r="C18" i="2" s="1"/>
  <c r="Q22" i="5"/>
  <c r="K46" i="5" s="1"/>
  <c r="P22" i="5"/>
  <c r="J46" i="5" s="1"/>
  <c r="O22" i="5"/>
  <c r="N22" i="5"/>
  <c r="M22" i="5"/>
  <c r="L22" i="5"/>
  <c r="K22" i="5"/>
  <c r="J22" i="5"/>
  <c r="I22" i="5"/>
  <c r="I46" i="5" s="1"/>
  <c r="H22" i="5"/>
  <c r="H46" i="5" s="1"/>
  <c r="G22" i="5"/>
  <c r="G46" i="5" s="1"/>
  <c r="F22" i="5"/>
  <c r="F46" i="5" s="1"/>
  <c r="E22" i="5"/>
  <c r="E46" i="5" s="1"/>
  <c r="D22" i="5"/>
  <c r="D46" i="5" s="1"/>
  <c r="U19" i="5"/>
  <c r="T19" i="5"/>
  <c r="S19" i="5"/>
  <c r="R19" i="5"/>
  <c r="Q19" i="5"/>
  <c r="P19" i="5"/>
  <c r="O19" i="5"/>
  <c r="N19" i="5"/>
  <c r="M19" i="5"/>
  <c r="L19" i="5"/>
  <c r="K19" i="5"/>
  <c r="J19" i="5"/>
  <c r="I19" i="5"/>
  <c r="H19" i="5"/>
  <c r="G19" i="5"/>
  <c r="F19" i="5"/>
  <c r="E19" i="5"/>
  <c r="D19" i="5"/>
  <c r="AA18" i="5"/>
  <c r="J65" i="5" s="1"/>
  <c r="Z18" i="5"/>
  <c r="Y18" i="5"/>
  <c r="X18" i="5"/>
  <c r="W18" i="5"/>
  <c r="V18" i="5"/>
  <c r="AA17" i="5"/>
  <c r="Z17" i="5"/>
  <c r="Y17" i="5"/>
  <c r="X17" i="5"/>
  <c r="W17" i="5"/>
  <c r="V17" i="5"/>
  <c r="U14" i="5"/>
  <c r="O40" i="5" s="1"/>
  <c r="C8" i="3" s="1"/>
  <c r="T14" i="5"/>
  <c r="T9" i="5" s="1"/>
  <c r="S14" i="5"/>
  <c r="R14" i="5"/>
  <c r="L40" i="5" s="1"/>
  <c r="Q14" i="5"/>
  <c r="Q9" i="5" s="1"/>
  <c r="K35" i="5" s="1"/>
  <c r="P14" i="5"/>
  <c r="J40" i="5" s="1"/>
  <c r="O14" i="5"/>
  <c r="N14" i="5"/>
  <c r="N9" i="5" s="1"/>
  <c r="M14" i="5"/>
  <c r="L14" i="5"/>
  <c r="K14" i="5"/>
  <c r="K9" i="5" s="1"/>
  <c r="J14" i="5"/>
  <c r="J9" i="5" s="1"/>
  <c r="I14" i="5"/>
  <c r="I40" i="5" s="1"/>
  <c r="H14" i="5"/>
  <c r="H40" i="5" s="1"/>
  <c r="G14" i="5"/>
  <c r="G40" i="5" s="1"/>
  <c r="F14" i="5"/>
  <c r="F9" i="5" s="1"/>
  <c r="F35" i="5" s="1"/>
  <c r="E14" i="5"/>
  <c r="E9" i="5" s="1"/>
  <c r="E35" i="5" s="1"/>
  <c r="D14" i="5"/>
  <c r="D40" i="5" s="1"/>
  <c r="AA13" i="5"/>
  <c r="Z13" i="5"/>
  <c r="Y13" i="5"/>
  <c r="X13" i="5"/>
  <c r="W13" i="5"/>
  <c r="V13" i="5"/>
  <c r="D60" i="5" s="1"/>
  <c r="AA12" i="5"/>
  <c r="J59" i="5" s="1"/>
  <c r="Z12" i="5"/>
  <c r="Y12" i="5"/>
  <c r="X12" i="5"/>
  <c r="W12" i="5"/>
  <c r="V12" i="5"/>
  <c r="D59" i="5" s="1"/>
  <c r="AA11" i="5"/>
  <c r="Z11" i="5"/>
  <c r="Y11" i="5"/>
  <c r="X11" i="5"/>
  <c r="W11" i="5"/>
  <c r="V11" i="5"/>
  <c r="D58" i="5" s="1"/>
  <c r="AA10" i="5"/>
  <c r="J57" i="5" s="1"/>
  <c r="Z10" i="5"/>
  <c r="Y10" i="5"/>
  <c r="X10" i="5"/>
  <c r="W10" i="5"/>
  <c r="V10" i="5"/>
  <c r="AA8" i="5"/>
  <c r="Z8" i="5"/>
  <c r="Y8" i="5"/>
  <c r="X8" i="5"/>
  <c r="W8" i="5"/>
  <c r="V8" i="5"/>
  <c r="J55" i="5" l="1"/>
  <c r="J58" i="5"/>
  <c r="J60" i="5"/>
  <c r="J64" i="5"/>
  <c r="J69" i="5"/>
  <c r="N35" i="5"/>
  <c r="N46" i="5"/>
  <c r="C46" i="2" s="1"/>
  <c r="E46" i="2" s="1"/>
  <c r="F39" i="5"/>
  <c r="G39" i="5"/>
  <c r="F44" i="5"/>
  <c r="G44" i="5"/>
  <c r="D38" i="5"/>
  <c r="D43" i="5"/>
  <c r="H43" i="5"/>
  <c r="I38" i="5"/>
  <c r="E43" i="5"/>
  <c r="F38" i="5"/>
  <c r="D39" i="5"/>
  <c r="H39" i="5"/>
  <c r="H44" i="5"/>
  <c r="E38" i="5"/>
  <c r="I43" i="5"/>
  <c r="G38" i="5"/>
  <c r="E39" i="5"/>
  <c r="I39" i="5"/>
  <c r="G43" i="5"/>
  <c r="E44" i="5"/>
  <c r="I44" i="5"/>
  <c r="F59" i="5"/>
  <c r="D45" i="5"/>
  <c r="H45" i="5"/>
  <c r="J45" i="5"/>
  <c r="N45" i="5"/>
  <c r="M44" i="5"/>
  <c r="D17" i="2" s="1"/>
  <c r="E59" i="5"/>
  <c r="M59" i="5"/>
  <c r="B42" i="2" s="1"/>
  <c r="K60" i="5"/>
  <c r="B15" i="2" s="1"/>
  <c r="K64" i="5"/>
  <c r="B16" i="2" s="1"/>
  <c r="E32" i="1"/>
  <c r="G32" i="1" s="1"/>
  <c r="M39" i="5"/>
  <c r="D15" i="2" s="1"/>
  <c r="G59" i="5"/>
  <c r="C12" i="3"/>
  <c r="L38" i="5"/>
  <c r="C14" i="2" s="1"/>
  <c r="J39" i="5"/>
  <c r="N39" i="5"/>
  <c r="L43" i="5"/>
  <c r="C16" i="2" s="1"/>
  <c r="J44" i="5"/>
  <c r="N44" i="5"/>
  <c r="C32" i="2"/>
  <c r="K38" i="5"/>
  <c r="K43" i="5"/>
  <c r="E60" i="5"/>
  <c r="M60" i="5"/>
  <c r="B43" i="2" s="1"/>
  <c r="I64" i="5"/>
  <c r="M38" i="5"/>
  <c r="K39" i="5"/>
  <c r="O39" i="5"/>
  <c r="D43" i="2" s="1"/>
  <c r="M43" i="5"/>
  <c r="K44" i="5"/>
  <c r="O44" i="5"/>
  <c r="D45" i="2" s="1"/>
  <c r="O38" i="5"/>
  <c r="D42" i="2" s="1"/>
  <c r="O43" i="5"/>
  <c r="D44" i="2" s="1"/>
  <c r="J38" i="5"/>
  <c r="N38" i="5"/>
  <c r="L39" i="5"/>
  <c r="C15" i="2" s="1"/>
  <c r="N43" i="5"/>
  <c r="L44" i="5"/>
  <c r="C17" i="2" s="1"/>
  <c r="D47" i="2"/>
  <c r="E18" i="2"/>
  <c r="E45" i="5"/>
  <c r="I45" i="5"/>
  <c r="K45" i="5"/>
  <c r="O45" i="5"/>
  <c r="C9" i="3" s="1"/>
  <c r="K47" i="5"/>
  <c r="O47" i="5"/>
  <c r="I59" i="5"/>
  <c r="L59" i="5"/>
  <c r="B28" i="2" s="1"/>
  <c r="F41" i="1"/>
  <c r="F45" i="1"/>
  <c r="G55" i="5"/>
  <c r="L58" i="5"/>
  <c r="B27" i="2" s="1"/>
  <c r="L60" i="5"/>
  <c r="B29" i="2" s="1"/>
  <c r="L64" i="5"/>
  <c r="B30" i="2" s="1"/>
  <c r="E69" i="5"/>
  <c r="H59" i="5"/>
  <c r="F8" i="1"/>
  <c r="F60" i="5"/>
  <c r="H64" i="5"/>
  <c r="F65" i="5"/>
  <c r="G60" i="5"/>
  <c r="E64" i="5"/>
  <c r="G65" i="5"/>
  <c r="K59" i="5"/>
  <c r="B14" i="2" s="1"/>
  <c r="K65" i="5"/>
  <c r="B17" i="2" s="1"/>
  <c r="D32" i="1"/>
  <c r="F32" i="1" s="1"/>
  <c r="H60" i="5"/>
  <c r="F64" i="5"/>
  <c r="D65" i="5"/>
  <c r="H65" i="5"/>
  <c r="L65" i="5"/>
  <c r="B31" i="2" s="1"/>
  <c r="F12" i="1"/>
  <c r="D64" i="5"/>
  <c r="G8" i="1"/>
  <c r="G12" i="1"/>
  <c r="E49" i="1"/>
  <c r="G49" i="1" s="1"/>
  <c r="B49" i="1" s="1"/>
  <c r="I60" i="5"/>
  <c r="G64" i="5"/>
  <c r="E65" i="5"/>
  <c r="I65" i="5"/>
  <c r="M64" i="5"/>
  <c r="B44" i="2" s="1"/>
  <c r="M65" i="5"/>
  <c r="B45" i="2" s="1"/>
  <c r="G6" i="1"/>
  <c r="G10" i="1"/>
  <c r="G14" i="1"/>
  <c r="F39" i="1"/>
  <c r="F43" i="1"/>
  <c r="F47" i="1"/>
  <c r="F40" i="1"/>
  <c r="F44" i="1"/>
  <c r="F48" i="1"/>
  <c r="F9" i="1"/>
  <c r="F13" i="1"/>
  <c r="F7" i="1"/>
  <c r="F11" i="1"/>
  <c r="F15" i="1"/>
  <c r="G15" i="1"/>
  <c r="F42" i="1"/>
  <c r="F46" i="1"/>
  <c r="G7" i="1"/>
  <c r="G11" i="1"/>
  <c r="G13" i="1"/>
  <c r="F14" i="1"/>
  <c r="G16" i="1"/>
  <c r="B16" i="1" s="1"/>
  <c r="E33" i="1"/>
  <c r="E50" i="1"/>
  <c r="G9" i="1"/>
  <c r="F6" i="1"/>
  <c r="F10" i="1"/>
  <c r="E17" i="1"/>
  <c r="D33" i="1"/>
  <c r="D50" i="1"/>
  <c r="D17" i="1"/>
  <c r="G57" i="5"/>
  <c r="F69" i="5"/>
  <c r="G45" i="5"/>
  <c r="G49" i="5"/>
  <c r="K37" i="5"/>
  <c r="F58" i="5"/>
  <c r="E55" i="5"/>
  <c r="K50" i="5"/>
  <c r="O37" i="5"/>
  <c r="H57" i="5"/>
  <c r="L57" i="5"/>
  <c r="B26" i="2" s="1"/>
  <c r="M57" i="5"/>
  <c r="B40" i="2" s="1"/>
  <c r="D36" i="5"/>
  <c r="D37" i="5"/>
  <c r="H50" i="5"/>
  <c r="H37" i="5"/>
  <c r="J37" i="5"/>
  <c r="J34" i="5"/>
  <c r="N34" i="5"/>
  <c r="N50" i="5"/>
  <c r="D48" i="5"/>
  <c r="J50" i="5"/>
  <c r="N40" i="5"/>
  <c r="B11" i="5"/>
  <c r="L55" i="5"/>
  <c r="M55" i="5"/>
  <c r="H55" i="5"/>
  <c r="K58" i="5"/>
  <c r="B13" i="2" s="1"/>
  <c r="E70" i="5"/>
  <c r="I55" i="5"/>
  <c r="K69" i="5"/>
  <c r="B19" i="2" s="1"/>
  <c r="I57" i="5"/>
  <c r="E57" i="5"/>
  <c r="D57" i="5"/>
  <c r="K57" i="5"/>
  <c r="B12" i="2" s="1"/>
  <c r="F57" i="5"/>
  <c r="G69" i="5"/>
  <c r="D69" i="5"/>
  <c r="L69" i="5"/>
  <c r="B33" i="2" s="1"/>
  <c r="M69" i="5"/>
  <c r="B47" i="2" s="1"/>
  <c r="H69" i="5"/>
  <c r="D47" i="5"/>
  <c r="H49" i="5"/>
  <c r="J49" i="5"/>
  <c r="H48" i="5"/>
  <c r="F55" i="5"/>
  <c r="R9" i="5"/>
  <c r="L35" i="5" s="1"/>
  <c r="E58" i="5"/>
  <c r="H36" i="5"/>
  <c r="D55" i="5"/>
  <c r="H58" i="5"/>
  <c r="K55" i="5"/>
  <c r="I36" i="5"/>
  <c r="E48" i="5"/>
  <c r="K34" i="5"/>
  <c r="G58" i="5"/>
  <c r="I69" i="5"/>
  <c r="M58" i="5"/>
  <c r="B41" i="2" s="1"/>
  <c r="E36" i="5"/>
  <c r="I48" i="5"/>
  <c r="K40" i="5"/>
  <c r="O34" i="5"/>
  <c r="O50" i="5"/>
  <c r="D38" i="2" s="1"/>
  <c r="I58" i="5"/>
  <c r="F37" i="5"/>
  <c r="F48" i="5"/>
  <c r="F36" i="5"/>
  <c r="L49" i="5"/>
  <c r="L37" i="5"/>
  <c r="C13" i="2" s="1"/>
  <c r="L50" i="5"/>
  <c r="C10" i="2" s="1"/>
  <c r="L34" i="5"/>
  <c r="C11" i="2" s="1"/>
  <c r="L45" i="5"/>
  <c r="S9" i="5"/>
  <c r="M35" i="5" s="1"/>
  <c r="M40" i="5"/>
  <c r="E23" i="5"/>
  <c r="E47" i="5" s="1"/>
  <c r="E49" i="5"/>
  <c r="I23" i="5"/>
  <c r="I47" i="5" s="1"/>
  <c r="I49" i="5"/>
  <c r="G48" i="5"/>
  <c r="G36" i="5"/>
  <c r="M50" i="5"/>
  <c r="M34" i="5"/>
  <c r="M48" i="5"/>
  <c r="M37" i="5"/>
  <c r="M36" i="5"/>
  <c r="G34" i="5"/>
  <c r="M47" i="5"/>
  <c r="T23" i="5"/>
  <c r="N47" i="5" s="1"/>
  <c r="N49" i="5"/>
  <c r="F34" i="5"/>
  <c r="L36" i="5"/>
  <c r="C12" i="2" s="1"/>
  <c r="F45" i="5"/>
  <c r="D49" i="5"/>
  <c r="F40" i="5"/>
  <c r="F50" i="5"/>
  <c r="K49" i="5"/>
  <c r="L48" i="5"/>
  <c r="C19" i="2" s="1"/>
  <c r="M45" i="5"/>
  <c r="F47" i="5"/>
  <c r="G50" i="5"/>
  <c r="O49" i="5"/>
  <c r="D34" i="5"/>
  <c r="H34" i="5"/>
  <c r="E37" i="5"/>
  <c r="I37" i="5"/>
  <c r="J36" i="5"/>
  <c r="J48" i="5"/>
  <c r="M49" i="5"/>
  <c r="N36" i="5"/>
  <c r="N48" i="5"/>
  <c r="D50" i="5"/>
  <c r="E34" i="5"/>
  <c r="I34" i="5"/>
  <c r="E40" i="5"/>
  <c r="F49" i="5"/>
  <c r="K36" i="5"/>
  <c r="N37" i="5"/>
  <c r="O36" i="5"/>
  <c r="U16" i="5"/>
  <c r="O42" i="5" s="1"/>
  <c r="X22" i="5"/>
  <c r="V27" i="5"/>
  <c r="P38" i="5" s="1"/>
  <c r="W19" i="5"/>
  <c r="AA19" i="5"/>
  <c r="E16" i="5"/>
  <c r="M16" i="5"/>
  <c r="M15" i="5" s="1"/>
  <c r="AA26" i="5"/>
  <c r="J70" i="5" s="1"/>
  <c r="Y14" i="5"/>
  <c r="AA22" i="5"/>
  <c r="Z27" i="5"/>
  <c r="P9" i="5"/>
  <c r="J35" i="5" s="1"/>
  <c r="D16" i="5"/>
  <c r="V14" i="5"/>
  <c r="D61" i="5" s="1"/>
  <c r="Z14" i="5"/>
  <c r="H9" i="5"/>
  <c r="H35" i="5" s="1"/>
  <c r="D9" i="5"/>
  <c r="D35" i="5" s="1"/>
  <c r="L9" i="5"/>
  <c r="P16" i="5"/>
  <c r="J42" i="5" s="1"/>
  <c r="Y19" i="5"/>
  <c r="S16" i="5"/>
  <c r="S15" i="5" s="1"/>
  <c r="M41" i="5" s="1"/>
  <c r="U9" i="5"/>
  <c r="O35" i="5" s="1"/>
  <c r="V19" i="5"/>
  <c r="Z19" i="5"/>
  <c r="O16" i="5"/>
  <c r="Z26" i="5"/>
  <c r="G16" i="5"/>
  <c r="G42" i="5" s="1"/>
  <c r="Y23" i="5"/>
  <c r="W27" i="5"/>
  <c r="G9" i="5"/>
  <c r="G35" i="5" s="1"/>
  <c r="W14" i="5"/>
  <c r="O9" i="5"/>
  <c r="AA14" i="5"/>
  <c r="K16" i="5"/>
  <c r="H16" i="5"/>
  <c r="H42" i="5" s="1"/>
  <c r="L16" i="5"/>
  <c r="T16" i="5"/>
  <c r="N42" i="5" s="1"/>
  <c r="Y22" i="5"/>
  <c r="Q16" i="5"/>
  <c r="K42" i="5" s="1"/>
  <c r="R23" i="5"/>
  <c r="I9" i="5"/>
  <c r="I35" i="5" s="1"/>
  <c r="M9" i="5"/>
  <c r="I16" i="5"/>
  <c r="I42" i="5" s="1"/>
  <c r="W9" i="5"/>
  <c r="V22" i="5"/>
  <c r="D67" i="5" s="1"/>
  <c r="K23" i="5"/>
  <c r="X14" i="5"/>
  <c r="X19" i="5"/>
  <c r="W22" i="5"/>
  <c r="G23" i="5"/>
  <c r="G47" i="5" s="1"/>
  <c r="X26" i="5"/>
  <c r="F70" i="5" s="1"/>
  <c r="AA27" i="5"/>
  <c r="Y26" i="5"/>
  <c r="Z9" i="5"/>
  <c r="F16" i="5"/>
  <c r="F42" i="5" s="1"/>
  <c r="J16" i="5"/>
  <c r="N16" i="5"/>
  <c r="R16" i="5"/>
  <c r="L42" i="5" s="1"/>
  <c r="Z22" i="5"/>
  <c r="O23" i="5"/>
  <c r="H23" i="5"/>
  <c r="H47" i="5" s="1"/>
  <c r="P23" i="5"/>
  <c r="J47" i="5" s="1"/>
  <c r="Y27" i="5"/>
  <c r="S39" i="5" s="1"/>
  <c r="C10" i="1" s="1"/>
  <c r="X27" i="5"/>
  <c r="R38" i="5" s="1"/>
  <c r="J67" i="5" l="1"/>
  <c r="B11" i="2"/>
  <c r="B39" i="2"/>
  <c r="B25" i="2"/>
  <c r="J61" i="5"/>
  <c r="J66" i="5"/>
  <c r="D32" i="2"/>
  <c r="E32" i="2" s="1"/>
  <c r="U38" i="5"/>
  <c r="C42" i="1" s="1"/>
  <c r="J71" i="5"/>
  <c r="B12" i="1"/>
  <c r="G44" i="1"/>
  <c r="B44" i="1" s="1"/>
  <c r="C29" i="2"/>
  <c r="F29" i="2" s="1"/>
  <c r="F15" i="2"/>
  <c r="F16" i="2"/>
  <c r="Z23" i="5"/>
  <c r="T47" i="5" s="1"/>
  <c r="E17" i="2"/>
  <c r="G29" i="1"/>
  <c r="G42" i="1"/>
  <c r="B42" i="1" s="1"/>
  <c r="G22" i="1"/>
  <c r="G41" i="1"/>
  <c r="B41" i="1" s="1"/>
  <c r="F17" i="2"/>
  <c r="F14" i="2"/>
  <c r="C31" i="2"/>
  <c r="F31" i="2" s="1"/>
  <c r="E15" i="2"/>
  <c r="G25" i="1"/>
  <c r="G28" i="1"/>
  <c r="E71" i="5"/>
  <c r="G23" i="1"/>
  <c r="G43" i="1"/>
  <c r="B43" i="1" s="1"/>
  <c r="G31" i="1"/>
  <c r="G30" i="1"/>
  <c r="G24" i="1"/>
  <c r="G27" i="1"/>
  <c r="G26" i="1"/>
  <c r="B32" i="1"/>
  <c r="D19" i="2"/>
  <c r="E19" i="2" s="1"/>
  <c r="C33" i="2"/>
  <c r="F33" i="2" s="1"/>
  <c r="D31" i="2"/>
  <c r="C45" i="2"/>
  <c r="E45" i="2" s="1"/>
  <c r="C34" i="2"/>
  <c r="D20" i="2"/>
  <c r="D13" i="2"/>
  <c r="E13" i="2" s="1"/>
  <c r="C27" i="2"/>
  <c r="F27" i="2" s="1"/>
  <c r="C38" i="2"/>
  <c r="D24" i="2"/>
  <c r="P44" i="5"/>
  <c r="C42" i="2"/>
  <c r="F42" i="2" s="1"/>
  <c r="D28" i="2"/>
  <c r="C43" i="2"/>
  <c r="D29" i="2"/>
  <c r="D25" i="2"/>
  <c r="C39" i="2"/>
  <c r="D40" i="2"/>
  <c r="C13" i="3"/>
  <c r="D33" i="2"/>
  <c r="C47" i="2"/>
  <c r="E47" i="2" s="1"/>
  <c r="D11" i="2"/>
  <c r="E11" i="2" s="1"/>
  <c r="C25" i="2"/>
  <c r="D30" i="2"/>
  <c r="C44" i="2"/>
  <c r="E44" i="2" s="1"/>
  <c r="D14" i="2"/>
  <c r="E14" i="2" s="1"/>
  <c r="C28" i="2"/>
  <c r="F28" i="2" s="1"/>
  <c r="D27" i="2"/>
  <c r="C41" i="2"/>
  <c r="F41" i="2" s="1"/>
  <c r="D26" i="2"/>
  <c r="C40" i="2"/>
  <c r="F40" i="2" s="1"/>
  <c r="C7" i="3"/>
  <c r="D48" i="2"/>
  <c r="D34" i="2"/>
  <c r="C48" i="2"/>
  <c r="D12" i="2"/>
  <c r="E12" i="2" s="1"/>
  <c r="C26" i="2"/>
  <c r="F26" i="2" s="1"/>
  <c r="D10" i="2"/>
  <c r="C24" i="2"/>
  <c r="D39" i="2"/>
  <c r="C6" i="3"/>
  <c r="E6" i="3" s="1"/>
  <c r="C11" i="3"/>
  <c r="D41" i="2"/>
  <c r="P43" i="5"/>
  <c r="C30" i="2"/>
  <c r="F30" i="2" s="1"/>
  <c r="D16" i="2"/>
  <c r="E16" i="2" s="1"/>
  <c r="F19" i="2"/>
  <c r="F11" i="2"/>
  <c r="F30" i="1"/>
  <c r="F24" i="1"/>
  <c r="B8" i="1"/>
  <c r="C20" i="2"/>
  <c r="F25" i="1"/>
  <c r="Q44" i="5"/>
  <c r="F23" i="1"/>
  <c r="F31" i="1"/>
  <c r="F22" i="1"/>
  <c r="F13" i="2"/>
  <c r="U43" i="5"/>
  <c r="C44" i="1" s="1"/>
  <c r="T43" i="5"/>
  <c r="C27" i="1" s="1"/>
  <c r="G39" i="1"/>
  <c r="B39" i="1" s="1"/>
  <c r="F27" i="1"/>
  <c r="G46" i="1"/>
  <c r="B46" i="1" s="1"/>
  <c r="F29" i="1"/>
  <c r="F28" i="1"/>
  <c r="G48" i="1"/>
  <c r="B48" i="1" s="1"/>
  <c r="F12" i="2"/>
  <c r="G45" i="1"/>
  <c r="B45" i="1" s="1"/>
  <c r="U44" i="5"/>
  <c r="C45" i="1" s="1"/>
  <c r="R43" i="5"/>
  <c r="R44" i="5"/>
  <c r="G47" i="1"/>
  <c r="B47" i="1" s="1"/>
  <c r="F26" i="1"/>
  <c r="G40" i="1"/>
  <c r="B40" i="1" s="1"/>
  <c r="S43" i="5"/>
  <c r="C11" i="1" s="1"/>
  <c r="T44" i="5"/>
  <c r="C28" i="1" s="1"/>
  <c r="S44" i="5"/>
  <c r="C12" i="1" s="1"/>
  <c r="Q43" i="5"/>
  <c r="B11" i="1"/>
  <c r="B10" i="1"/>
  <c r="B6" i="1"/>
  <c r="B13" i="1"/>
  <c r="B7" i="1"/>
  <c r="B14" i="1"/>
  <c r="F50" i="1"/>
  <c r="B9" i="1"/>
  <c r="B15" i="1"/>
  <c r="G17" i="1"/>
  <c r="V9" i="5"/>
  <c r="H56" i="5" s="1"/>
  <c r="U15" i="5"/>
  <c r="O41" i="5" s="1"/>
  <c r="U39" i="5"/>
  <c r="C43" i="1" s="1"/>
  <c r="T39" i="5"/>
  <c r="C26" i="1" s="1"/>
  <c r="Q38" i="5"/>
  <c r="S38" i="5"/>
  <c r="T38" i="5"/>
  <c r="Q39" i="5"/>
  <c r="P39" i="5"/>
  <c r="F71" i="5"/>
  <c r="F67" i="5"/>
  <c r="Q34" i="5"/>
  <c r="R39" i="5"/>
  <c r="E66" i="5"/>
  <c r="T46" i="5"/>
  <c r="C29" i="1" s="1"/>
  <c r="H67" i="5"/>
  <c r="L67" i="5"/>
  <c r="B32" i="2" s="1"/>
  <c r="Q35" i="5"/>
  <c r="T49" i="5"/>
  <c r="C31" i="1" s="1"/>
  <c r="H70" i="5"/>
  <c r="L70" i="5"/>
  <c r="B34" i="2" s="1"/>
  <c r="B12" i="5"/>
  <c r="U48" i="5"/>
  <c r="I71" i="5"/>
  <c r="M71" i="5"/>
  <c r="B38" i="2" s="1"/>
  <c r="T34" i="5"/>
  <c r="C22" i="1" s="1"/>
  <c r="H71" i="5"/>
  <c r="L71" i="5"/>
  <c r="B24" i="2" s="1"/>
  <c r="P48" i="5"/>
  <c r="D71" i="5"/>
  <c r="U34" i="5"/>
  <c r="U37" i="5"/>
  <c r="Q37" i="5"/>
  <c r="S34" i="5"/>
  <c r="C6" i="1" s="1"/>
  <c r="K71" i="5"/>
  <c r="B10" i="2" s="1"/>
  <c r="G71" i="5"/>
  <c r="K67" i="5"/>
  <c r="B18" i="2" s="1"/>
  <c r="G67" i="5"/>
  <c r="G70" i="5"/>
  <c r="K70" i="5"/>
  <c r="B20" i="2" s="1"/>
  <c r="Q46" i="5"/>
  <c r="E67" i="5"/>
  <c r="F61" i="5"/>
  <c r="U40" i="5"/>
  <c r="D8" i="3" s="1"/>
  <c r="F8" i="3" s="1"/>
  <c r="I61" i="5"/>
  <c r="I67" i="5"/>
  <c r="M67" i="5"/>
  <c r="B46" i="2" s="1"/>
  <c r="M70" i="5"/>
  <c r="B48" i="2" s="1"/>
  <c r="I70" i="5"/>
  <c r="Q49" i="5"/>
  <c r="R36" i="5"/>
  <c r="G61" i="5"/>
  <c r="K61" i="5"/>
  <c r="H66" i="5"/>
  <c r="L66" i="5"/>
  <c r="K66" i="5"/>
  <c r="M61" i="5"/>
  <c r="L61" i="5"/>
  <c r="M66" i="5"/>
  <c r="F17" i="1"/>
  <c r="Q40" i="5"/>
  <c r="E61" i="5"/>
  <c r="R45" i="5"/>
  <c r="F66" i="5"/>
  <c r="S45" i="5"/>
  <c r="G66" i="5"/>
  <c r="P45" i="5"/>
  <c r="D66" i="5"/>
  <c r="T40" i="5"/>
  <c r="H61" i="5"/>
  <c r="I66" i="5"/>
  <c r="P46" i="5"/>
  <c r="D15" i="5"/>
  <c r="D41" i="5" s="1"/>
  <c r="D42" i="5"/>
  <c r="E15" i="5"/>
  <c r="E41" i="5" s="1"/>
  <c r="E42" i="5"/>
  <c r="R50" i="5"/>
  <c r="S49" i="5"/>
  <c r="C15" i="1" s="1"/>
  <c r="R49" i="5"/>
  <c r="R40" i="5"/>
  <c r="S47" i="5"/>
  <c r="U46" i="5"/>
  <c r="U49" i="5"/>
  <c r="U45" i="5"/>
  <c r="D9" i="3" s="1"/>
  <c r="F9" i="3" s="1"/>
  <c r="R37" i="5"/>
  <c r="S36" i="5"/>
  <c r="C7" i="1" s="1"/>
  <c r="T48" i="5"/>
  <c r="C30" i="1" s="1"/>
  <c r="T35" i="5"/>
  <c r="X23" i="5"/>
  <c r="L47" i="5"/>
  <c r="Q50" i="5"/>
  <c r="Q36" i="5"/>
  <c r="P40" i="5"/>
  <c r="S40" i="5"/>
  <c r="Q45" i="5"/>
  <c r="R46" i="5"/>
  <c r="S48" i="5"/>
  <c r="C14" i="1" s="1"/>
  <c r="Q48" i="5"/>
  <c r="S50" i="5"/>
  <c r="S37" i="5"/>
  <c r="C8" i="1" s="1"/>
  <c r="U50" i="5"/>
  <c r="U36" i="5"/>
  <c r="S46" i="5"/>
  <c r="C13" i="1" s="1"/>
  <c r="T45" i="5"/>
  <c r="Y16" i="5"/>
  <c r="M42" i="5"/>
  <c r="T50" i="5"/>
  <c r="T36" i="5"/>
  <c r="C23" i="1" s="1"/>
  <c r="P50" i="5"/>
  <c r="P49" i="5"/>
  <c r="P36" i="5"/>
  <c r="R48" i="5"/>
  <c r="P34" i="5"/>
  <c r="P37" i="5"/>
  <c r="T37" i="5"/>
  <c r="C24" i="1" s="1"/>
  <c r="R34" i="5"/>
  <c r="AA9" i="5"/>
  <c r="Y15" i="5"/>
  <c r="X9" i="5"/>
  <c r="AA16" i="5"/>
  <c r="S29" i="5"/>
  <c r="S30" i="5" s="1"/>
  <c r="X16" i="5"/>
  <c r="L15" i="5"/>
  <c r="Q15" i="5"/>
  <c r="K41" i="5" s="1"/>
  <c r="W16" i="5"/>
  <c r="T15" i="5"/>
  <c r="N41" i="5" s="1"/>
  <c r="I15" i="5"/>
  <c r="I41" i="5" s="1"/>
  <c r="AA23" i="5"/>
  <c r="O15" i="5"/>
  <c r="V16" i="5"/>
  <c r="J15" i="5"/>
  <c r="F15" i="5"/>
  <c r="F41" i="5" s="1"/>
  <c r="G15" i="5"/>
  <c r="G41" i="5" s="1"/>
  <c r="M29" i="5"/>
  <c r="M30" i="5" s="1"/>
  <c r="Y9" i="5"/>
  <c r="P15" i="5"/>
  <c r="J41" i="5" s="1"/>
  <c r="V23" i="5"/>
  <c r="Z16" i="5"/>
  <c r="N15" i="5"/>
  <c r="H15" i="5"/>
  <c r="H41" i="5" s="1"/>
  <c r="R15" i="5"/>
  <c r="L41" i="5" s="1"/>
  <c r="W23" i="5"/>
  <c r="K15" i="5"/>
  <c r="F39" i="2" l="1"/>
  <c r="B49" i="2"/>
  <c r="F25" i="2"/>
  <c r="M72" i="5"/>
  <c r="B50" i="2" s="1"/>
  <c r="J68" i="5"/>
  <c r="L68" i="5"/>
  <c r="L72" i="5"/>
  <c r="B36" i="2" s="1"/>
  <c r="K72" i="5"/>
  <c r="B22" i="2" s="1"/>
  <c r="B35" i="2"/>
  <c r="E7" i="3"/>
  <c r="H13" i="3" s="1"/>
  <c r="B21" i="2"/>
  <c r="L17" i="3"/>
  <c r="L18" i="3"/>
  <c r="L16" i="3"/>
  <c r="K15" i="3"/>
  <c r="K14" i="3"/>
  <c r="K13" i="3"/>
  <c r="H9" i="3"/>
  <c r="H8" i="3" s="1"/>
  <c r="H10" i="3"/>
  <c r="J56" i="5"/>
  <c r="J63" i="5"/>
  <c r="E29" i="2"/>
  <c r="B27" i="1"/>
  <c r="P35" i="5"/>
  <c r="B22" i="1"/>
  <c r="B30" i="1"/>
  <c r="E31" i="2"/>
  <c r="B29" i="1"/>
  <c r="B25" i="1"/>
  <c r="F47" i="2"/>
  <c r="E34" i="2"/>
  <c r="G33" i="1"/>
  <c r="B23" i="1"/>
  <c r="E33" i="2"/>
  <c r="B24" i="1"/>
  <c r="B31" i="1"/>
  <c r="B26" i="1"/>
  <c r="B28" i="1"/>
  <c r="E41" i="2"/>
  <c r="E30" i="2"/>
  <c r="E26" i="2"/>
  <c r="F45" i="2"/>
  <c r="F44" i="2"/>
  <c r="C49" i="2"/>
  <c r="E28" i="2"/>
  <c r="E25" i="2"/>
  <c r="D35" i="2"/>
  <c r="C46" i="1"/>
  <c r="D12" i="3"/>
  <c r="F12" i="3" s="1"/>
  <c r="U52" i="5"/>
  <c r="D6" i="3"/>
  <c r="D49" i="2"/>
  <c r="E39" i="2"/>
  <c r="E27" i="2"/>
  <c r="C35" i="2"/>
  <c r="E42" i="2"/>
  <c r="C40" i="1"/>
  <c r="D13" i="3"/>
  <c r="F13" i="3" s="1"/>
  <c r="C48" i="1"/>
  <c r="D7" i="3"/>
  <c r="F7" i="3" s="1"/>
  <c r="C41" i="1"/>
  <c r="D11" i="3"/>
  <c r="F11" i="3" s="1"/>
  <c r="C14" i="3"/>
  <c r="C47" i="1"/>
  <c r="D10" i="3"/>
  <c r="F10" i="3" s="1"/>
  <c r="E48" i="2"/>
  <c r="D21" i="2"/>
  <c r="E40" i="2"/>
  <c r="E43" i="2"/>
  <c r="F43" i="2"/>
  <c r="C21" i="2"/>
  <c r="E20" i="2"/>
  <c r="F20" i="2"/>
  <c r="D29" i="5"/>
  <c r="D30" i="5" s="1"/>
  <c r="F48" i="2"/>
  <c r="F46" i="2"/>
  <c r="F34" i="2"/>
  <c r="F32" i="2"/>
  <c r="F18" i="2"/>
  <c r="G50" i="1"/>
  <c r="F33" i="1"/>
  <c r="C39" i="1"/>
  <c r="U51" i="5"/>
  <c r="C49" i="1" s="1"/>
  <c r="U29" i="5"/>
  <c r="U30" i="5" s="1"/>
  <c r="B17" i="1"/>
  <c r="C25" i="1"/>
  <c r="C33" i="1" s="1"/>
  <c r="T51" i="5"/>
  <c r="C32" i="1" s="1"/>
  <c r="S51" i="5"/>
  <c r="C16" i="1" s="1"/>
  <c r="C9" i="1"/>
  <c r="E56" i="5"/>
  <c r="D56" i="5"/>
  <c r="E63" i="5"/>
  <c r="E29" i="5"/>
  <c r="E30" i="5" s="1"/>
  <c r="M63" i="5"/>
  <c r="I63" i="5"/>
  <c r="U35" i="5"/>
  <c r="M56" i="5"/>
  <c r="I56" i="5"/>
  <c r="K68" i="5"/>
  <c r="Q47" i="5"/>
  <c r="E68" i="5"/>
  <c r="T42" i="5"/>
  <c r="H63" i="5"/>
  <c r="L63" i="5"/>
  <c r="S35" i="5"/>
  <c r="G56" i="5"/>
  <c r="K56" i="5"/>
  <c r="U47" i="5"/>
  <c r="M68" i="5"/>
  <c r="I68" i="5"/>
  <c r="R35" i="5"/>
  <c r="F56" i="5"/>
  <c r="R47" i="5"/>
  <c r="F68" i="5"/>
  <c r="P47" i="5"/>
  <c r="D68" i="5"/>
  <c r="P42" i="5"/>
  <c r="D63" i="5"/>
  <c r="F63" i="5"/>
  <c r="S42" i="5"/>
  <c r="G63" i="5"/>
  <c r="K63" i="5"/>
  <c r="H68" i="5"/>
  <c r="B13" i="5"/>
  <c r="G68" i="5"/>
  <c r="L56" i="5"/>
  <c r="Q42" i="5"/>
  <c r="U42" i="5"/>
  <c r="S41" i="5"/>
  <c r="R42" i="5"/>
  <c r="I29" i="5"/>
  <c r="I30" i="5" s="1"/>
  <c r="Q29" i="5"/>
  <c r="Q30" i="5" s="1"/>
  <c r="T29" i="5"/>
  <c r="T30" i="5" s="1"/>
  <c r="L29" i="5"/>
  <c r="L30" i="5" s="1"/>
  <c r="G29" i="5"/>
  <c r="G30" i="5" s="1"/>
  <c r="F29" i="5"/>
  <c r="F30" i="5" s="1"/>
  <c r="AA15" i="5"/>
  <c r="O29" i="5"/>
  <c r="O30" i="5" s="1"/>
  <c r="W15" i="5"/>
  <c r="K29" i="5"/>
  <c r="K30" i="5" s="1"/>
  <c r="X15" i="5"/>
  <c r="K62" i="5" s="1"/>
  <c r="R29" i="5"/>
  <c r="R30" i="5" s="1"/>
  <c r="Z15" i="5"/>
  <c r="N29" i="5"/>
  <c r="N30" i="5" s="1"/>
  <c r="V15" i="5"/>
  <c r="J29" i="5"/>
  <c r="J30" i="5" s="1"/>
  <c r="H29" i="5"/>
  <c r="H30" i="5" s="1"/>
  <c r="P29" i="5"/>
  <c r="P30" i="5" s="1"/>
  <c r="E8" i="3" l="1"/>
  <c r="H15" i="3" s="1"/>
  <c r="H14" i="3" s="1"/>
  <c r="H12" i="3"/>
  <c r="H11" i="3" s="1"/>
  <c r="N23" i="3"/>
  <c r="N24" i="3"/>
  <c r="N22" i="3"/>
  <c r="P30" i="3"/>
  <c r="P28" i="3"/>
  <c r="P29" i="3"/>
  <c r="M19" i="3"/>
  <c r="M21" i="3"/>
  <c r="M20" i="3"/>
  <c r="O26" i="3"/>
  <c r="O25" i="3"/>
  <c r="O27" i="3"/>
  <c r="J12" i="3"/>
  <c r="J10" i="3"/>
  <c r="J11" i="3"/>
  <c r="E9" i="3"/>
  <c r="J62" i="5"/>
  <c r="C50" i="1"/>
  <c r="D14" i="3"/>
  <c r="F6" i="3"/>
  <c r="F49" i="2"/>
  <c r="F6" i="2" s="1"/>
  <c r="G6" i="2" s="1"/>
  <c r="F35" i="2"/>
  <c r="F5" i="2" s="1"/>
  <c r="G5" i="2" s="1"/>
  <c r="F21" i="2"/>
  <c r="F4" i="2" s="1"/>
  <c r="G4" i="2" s="1"/>
  <c r="C17" i="1"/>
  <c r="B14" i="5"/>
  <c r="B15" i="5" s="1"/>
  <c r="B16" i="5" s="1"/>
  <c r="B17" i="5" s="1"/>
  <c r="P41" i="5"/>
  <c r="D62" i="5"/>
  <c r="G62" i="5"/>
  <c r="R41" i="5"/>
  <c r="F62" i="5"/>
  <c r="U41" i="5"/>
  <c r="M62" i="5"/>
  <c r="I62" i="5"/>
  <c r="T41" i="5"/>
  <c r="L62" i="5"/>
  <c r="H62" i="5"/>
  <c r="Q41" i="5"/>
  <c r="E62" i="5"/>
  <c r="H16" i="3" l="1"/>
  <c r="H17" i="3" s="1"/>
  <c r="E10" i="3"/>
  <c r="H19" i="3"/>
  <c r="H18" i="3"/>
  <c r="I8" i="3"/>
  <c r="I7" i="3"/>
  <c r="I9" i="3"/>
  <c r="B18" i="5"/>
  <c r="E11" i="3" l="1"/>
  <c r="H22" i="3"/>
  <c r="H21" i="3"/>
  <c r="H20" i="3"/>
  <c r="B19" i="5"/>
  <c r="B20" i="5" s="1"/>
  <c r="B21" i="5" s="1"/>
  <c r="B22" i="5" s="1"/>
  <c r="B23" i="5" s="1"/>
  <c r="B24" i="5" s="1"/>
  <c r="B25" i="5" s="1"/>
  <c r="H23" i="3" l="1"/>
  <c r="E12" i="3"/>
  <c r="H24" i="3"/>
  <c r="H25" i="3"/>
  <c r="B26" i="5"/>
  <c r="B27" i="5" s="1"/>
  <c r="E13" i="3" l="1"/>
  <c r="H28" i="3"/>
  <c r="H27" i="3"/>
  <c r="H26" i="3"/>
  <c r="H30" i="3" l="1"/>
  <c r="H29" i="3" s="1"/>
  <c r="H31" i="3"/>
</calcChain>
</file>

<file path=xl/sharedStrings.xml><?xml version="1.0" encoding="utf-8"?>
<sst xmlns="http://schemas.openxmlformats.org/spreadsheetml/2006/main" count="701" uniqueCount="186">
  <si>
    <t>Click ▼ above to select variable to view from drop-down list</t>
  </si>
  <si>
    <t>Note: All grey-shaded cells calculate automatically</t>
  </si>
  <si>
    <t>Sector</t>
  </si>
  <si>
    <t>Gross value added at current basic prices (millions)</t>
  </si>
  <si>
    <t>Gross value added at constant 2005 prices (millions)</t>
  </si>
  <si>
    <t>Number of persons engaged (thousands)</t>
  </si>
  <si>
    <t>Labour productivity (= constant VA per person engaged)</t>
  </si>
  <si>
    <t>1975</t>
  </si>
  <si>
    <t>1990</t>
  </si>
  <si>
    <t>2010</t>
  </si>
  <si>
    <t xml:space="preserve">Rel. product-ivity level </t>
  </si>
  <si>
    <t>1990-2000</t>
  </si>
  <si>
    <t>2000-05</t>
  </si>
  <si>
    <t>2005-10</t>
  </si>
  <si>
    <t>Agriculture</t>
  </si>
  <si>
    <t>ASD</t>
  </si>
  <si>
    <t>x</t>
  </si>
  <si>
    <t>Industry</t>
  </si>
  <si>
    <t>Sum</t>
  </si>
  <si>
    <t>Mining</t>
  </si>
  <si>
    <t>Manufacturing</t>
  </si>
  <si>
    <t>Utilities</t>
  </si>
  <si>
    <t>Construction</t>
  </si>
  <si>
    <t>Services</t>
  </si>
  <si>
    <t>Market services</t>
  </si>
  <si>
    <t>Trade services</t>
  </si>
  <si>
    <t>Transport services</t>
  </si>
  <si>
    <t>Distribution services</t>
  </si>
  <si>
    <t>Business services (inc. dwellings)</t>
  </si>
  <si>
    <t>n/a</t>
  </si>
  <si>
    <t>Dwellings</t>
  </si>
  <si>
    <t>Fin. &amp; bus. services (exc. dwellings)</t>
  </si>
  <si>
    <t>Non-market services</t>
  </si>
  <si>
    <t>Government services</t>
  </si>
  <si>
    <t>Personal services</t>
  </si>
  <si>
    <t>Other services</t>
  </si>
  <si>
    <t>Total economy (exc. dwellings)</t>
  </si>
  <si>
    <t>Total economy</t>
  </si>
  <si>
    <t>Total check</t>
  </si>
  <si>
    <t>Relative productivity and changes in employment</t>
  </si>
  <si>
    <t>Annualised growth</t>
  </si>
  <si>
    <t>Row</t>
  </si>
  <si>
    <t xml:space="preserve">PP Change in share of persons engaged </t>
  </si>
  <si>
    <t>Number of persons engaged</t>
  </si>
  <si>
    <t>Sectoral share of persons engaged</t>
  </si>
  <si>
    <t>2000</t>
  </si>
  <si>
    <t>Business services</t>
  </si>
  <si>
    <t>Govt services</t>
  </si>
  <si>
    <t>Total Economy</t>
  </si>
  <si>
    <t>Check totals</t>
  </si>
  <si>
    <t>Decomposition of labour productivity change</t>
  </si>
  <si>
    <t>Annualised growth in labour prod.</t>
  </si>
  <si>
    <t>Sector share in total employment</t>
  </si>
  <si>
    <t>Change in sector share in total employment</t>
  </si>
  <si>
    <t>Within sector</t>
  </si>
  <si>
    <t>Structural change</t>
  </si>
  <si>
    <t>2000-1990</t>
  </si>
  <si>
    <t>Check</t>
  </si>
  <si>
    <t>2005-00</t>
  </si>
  <si>
    <t>2010-05</t>
  </si>
  <si>
    <t>Other non market services</t>
  </si>
  <si>
    <t>Other industry</t>
  </si>
  <si>
    <t>1960</t>
  </si>
  <si>
    <t>Finance and business services</t>
  </si>
  <si>
    <t>Labour productivity levels (index, 1966=100)</t>
  </si>
  <si>
    <t>2000–05</t>
  </si>
  <si>
    <t>2005–10</t>
  </si>
  <si>
    <t>1990– 2000</t>
  </si>
  <si>
    <t>No. of years minus 1</t>
  </si>
  <si>
    <t>Table 2</t>
  </si>
  <si>
    <t>Sectoral shares</t>
  </si>
  <si>
    <t>Labour productivity levels and changes</t>
  </si>
  <si>
    <t/>
  </si>
  <si>
    <t>Table 1 (filter on x in Col. C)</t>
  </si>
  <si>
    <t>Gross value added at current basic prices (%)</t>
  </si>
  <si>
    <t>Number of persons engaged (%)</t>
  </si>
  <si>
    <t>Relative productivity levels (labour productivity as ratio of Labour Productivity Total Economy (exc. dwellings))</t>
  </si>
  <si>
    <t>Total for individual sectors</t>
  </si>
  <si>
    <t>Check for relative productivity cf employment</t>
  </si>
  <si>
    <t>Check for productivity gaps</t>
  </si>
  <si>
    <t>Labour share 2010</t>
  </si>
  <si>
    <t>Productivity gaps 2010</t>
  </si>
  <si>
    <t>Relative productivity 2010</t>
  </si>
  <si>
    <t>Original order</t>
  </si>
  <si>
    <t>Cumulation of C/100</t>
  </si>
  <si>
    <t>Source/to tables (x)</t>
  </si>
  <si>
    <t>1960– 2010</t>
  </si>
  <si>
    <t>SOUTH AFRICA</t>
  </si>
  <si>
    <t>Sectoral employment by sex</t>
  </si>
  <si>
    <t>c</t>
  </si>
  <si>
    <t>Country name</t>
  </si>
  <si>
    <t>Sector name</t>
  </si>
  <si>
    <t>EMP_M</t>
  </si>
  <si>
    <t>EMP_F</t>
  </si>
  <si>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</si>
  <si>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</si>
  <si>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</si>
  <si>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</si>
  <si>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</si>
  <si>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</si>
  <si>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</si>
  <si>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</si>
  <si>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South Africa</t>
  </si>
  <si>
    <t>B*C</t>
  </si>
  <si>
    <t>NON-TRADE DATA:</t>
  </si>
  <si>
    <t>Last updated:</t>
  </si>
  <si>
    <t>By:</t>
  </si>
  <si>
    <t>Note on change made:</t>
  </si>
  <si>
    <t>28 Jan. 2015</t>
  </si>
  <si>
    <t>JK</t>
  </si>
  <si>
    <t>Histogram added to productivity gaps page</t>
  </si>
  <si>
    <t>10 Feb. 2015</t>
  </si>
  <si>
    <t>Recalculation of decomposition of labour productivity change</t>
  </si>
  <si>
    <t>21.7.2015</t>
  </si>
  <si>
    <t>Addition of labour productivity/sectoral employment analyses based on UN/ILO data (5 pages, starting page 'GVA-productivity2')</t>
  </si>
  <si>
    <t>Source: GGDC Africa Sector Database, October 2014.</t>
  </si>
  <si>
    <t>Source: see page 'GVA-productivity1'</t>
  </si>
  <si>
    <r>
      <t xml:space="preserve">Sort </t>
    </r>
    <r>
      <rPr>
        <sz val="9"/>
        <color rgb="FFFF0000"/>
        <rFont val="Arial"/>
        <family val="2"/>
      </rPr>
      <t>▲</t>
    </r>
  </si>
  <si>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</si>
  <si>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</si>
  <si>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</si>
  <si>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</si>
  <si>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</si>
  <si>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</si>
  <si>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</si>
  <si>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</si>
  <si>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</si>
  <si>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UN notes on sectoral composition:</t>
  </si>
  <si>
    <t>Agriculture, hunting, forestry, fishing (ISIC A-B)</t>
  </si>
  <si>
    <t>Excludes irrigation canals and landscaping care</t>
  </si>
  <si>
    <t>Mining, Manufacturing, Utilities (ISIC C-E)</t>
  </si>
  <si>
    <t>Excludes publishing activities, includes irrigation canals</t>
  </si>
  <si>
    <t>Manufacturing (ISIC D)</t>
  </si>
  <si>
    <t>Excludes recycling and publishing activities</t>
  </si>
  <si>
    <t>Wholesale, retail trade, restaurants and hotels (ISIC G-H)</t>
  </si>
  <si>
    <t>Excludes repair of personal and household goods</t>
  </si>
  <si>
    <t>Transport, storage and communication (ISIC I)</t>
  </si>
  <si>
    <t>Excludes travel agencies, includes publishing activities, computer and related activities and radio/TV activities</t>
  </si>
  <si>
    <t>Other Activities (ISIC J-P)</t>
  </si>
  <si>
    <t>Excludes computer and related activities and radio/TV activities, includes travel agencies and landscaping care</t>
  </si>
  <si>
    <t>ISIC Section Q (extraterritorial organization and bodies)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</si>
  <si>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</si>
  <si>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</si>
  <si>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t>
  </si>
  <si>
    <t>Economic activity</t>
  </si>
  <si>
    <t>Gross value added (current US$ thousands)</t>
  </si>
  <si>
    <t>Gross value added (current, %)</t>
  </si>
  <si>
    <t>https://data.un.org/</t>
  </si>
  <si>
    <t>Own calcs.</t>
  </si>
  <si>
    <t xml:space="preserve">Mining &amp; utilities </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</si>
  <si>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</si>
  <si>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</si>
  <si>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</si>
  <si>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</si>
  <si>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</si>
  <si>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</si>
  <si>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</si>
  <si>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</si>
  <si>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</si>
  <si>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</si>
  <si>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</si>
  <si>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</si>
  <si>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</si>
  <si>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</si>
  <si>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</si>
  <si>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</si>
  <si>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</si>
  <si>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</si>
  <si>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2010-13</t>
  </si>
  <si>
    <t>Check:</t>
  </si>
  <si>
    <t>Size of bubbles represents number of persons engaged in each sector in the later year of each of the periods.</t>
  </si>
  <si>
    <t>PP change in employ-ment</t>
  </si>
  <si>
    <t>Employment (thousands)</t>
  </si>
  <si>
    <t>Sectoral employment share</t>
  </si>
  <si>
    <t>1991</t>
  </si>
  <si>
    <t>Mining &amp; utilities</t>
  </si>
  <si>
    <t>Total of above</t>
  </si>
  <si>
    <t>2000-1991</t>
  </si>
  <si>
    <t>Total</t>
  </si>
  <si>
    <t>2013-10</t>
  </si>
  <si>
    <t>Productivity gaps 2013</t>
  </si>
  <si>
    <t>Employment share 2013</t>
  </si>
  <si>
    <t>Relative productivity 2013</t>
  </si>
  <si>
    <t>Cumulation of employment share</t>
  </si>
  <si>
    <t>Mining and utilities</t>
  </si>
  <si>
    <t>Source: see page 'GVA-productivity2'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</si>
</sst>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_ ;\-#,##0\ "/>
    <numFmt numFmtId="165" formatCode="#,##0.0"/>
    <numFmt numFmtId="166" formatCode="0.0%"/>
    <numFmt numFmtId="167" formatCode="0.0"/>
    <numFmt numFmtId="168" formatCode="_-* #,##0_-;\-* #,##0_-;_-* &quot;-&quot;??_-;_-@_-"/>
    <numFmt numFmtId="169" formatCode="#,##0.000"/>
    <numFmt numFmtId="170" formatCode="_ * #,##0.00_ ;_ * \-#,##0.00_ ;_ * &quot;-&quot;??_ ;_ @_ "/>
    <numFmt numFmtId="175" formatCode="_-* #,##0.0_-;\-* #,##0.0_-;_-* &quot;-&quot;??_-;_-@_-"/>
    <numFmt numFmtId="176" formatCode="#,##0.0_ ;\-#,##0.0\ "/>
  </numFmts>
  <fonts count="61"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u/>
      <sz val="11"/>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b/>
      <sz val="9"/>
      <color theme="4"/>
      <name val="Calibri"/>
      <family val="2"/>
      <scheme val="minor"/>
    </font>
    <font>
      <i/>
      <sz val="9"/>
      <color theme="1"/>
      <name val="Calibri"/>
      <family val="2"/>
      <scheme val="minor"/>
    </font>
    <font>
      <b/>
      <sz val="9"/>
      <name val="Calibri"/>
      <family val="2"/>
      <scheme val="minor"/>
    </font>
    <font>
      <sz val="9"/>
      <name val="Calibri"/>
      <family val="2"/>
      <scheme val="minor"/>
    </font>
    <font>
      <i/>
      <sz val="9"/>
      <name val="Calibri"/>
      <family val="2"/>
      <scheme val="minor"/>
    </font>
    <font>
      <i/>
      <sz val="9"/>
      <color theme="0" tint="-0.499984740745262"/>
      <name val="Calibri"/>
      <family val="2"/>
      <scheme val="minor"/>
    </font>
    <font>
      <sz val="9"/>
      <color theme="0" tint="-0.499984740745262"/>
      <name val="Calibri"/>
      <family val="2"/>
      <scheme val="minor"/>
    </font>
    <font>
      <i/>
      <sz val="9"/>
      <color rgb="FFFF0000"/>
      <name val="Calibri"/>
      <family val="2"/>
      <scheme val="minor"/>
    </font>
    <font>
      <i/>
      <sz val="9"/>
      <color theme="4"/>
      <name val="Calibri"/>
      <family val="2"/>
      <scheme val="minor"/>
    </font>
    <font>
      <b/>
      <u/>
      <sz val="11"/>
      <color rgb="FFFF0000"/>
      <name val="Calibri"/>
      <family val="2"/>
      <scheme val="minor"/>
    </font>
    <font>
      <u/>
      <sz val="9"/>
      <color theme="1"/>
      <name val="Calibri"/>
      <family val="2"/>
      <scheme val="minor"/>
    </font>
    <font>
      <b/>
      <sz val="8"/>
      <color theme="1"/>
      <name val="Calibri"/>
      <family val="2"/>
      <scheme val="minor"/>
    </font>
    <font>
      <b/>
      <sz val="9"/>
      <color rgb="FFFF0000"/>
      <name val="Calibri"/>
      <family val="2"/>
      <scheme val="minor"/>
    </font>
    <font>
      <sz val="9"/>
      <color rgb="FFFF0000"/>
      <name val="Arial"/>
      <family val="2"/>
    </font>
    <font>
      <sz val="10"/>
      <name val="MS Sans Serif"/>
      <family val="2"/>
    </font>
    <font>
      <b/>
      <sz val="8.5"/>
      <color theme="1"/>
      <name val="Arial"/>
      <family val="2"/>
    </font>
    <font>
      <i/>
      <sz val="9"/>
      <color rgb="FF000000"/>
      <name val="Calibri"/>
      <family val="2"/>
      <scheme val="minor"/>
    </font>
    <font>
      <sz val="9"/>
      <color rgb="FF000000"/>
      <name val="Calibri"/>
      <family val="2"/>
      <scheme val="minor"/>
    </font>
    <font>
      <b/>
      <sz val="9"/>
      <color rgb="FF000000"/>
      <name val="Calibri"/>
      <family val="2"/>
      <scheme val="minor"/>
    </font>
    <font>
      <b/>
      <sz val="11"/>
      <color theme="1"/>
      <name val="Calibri"/>
      <family val="2"/>
      <scheme val="minor"/>
    </font>
    <font>
      <b/>
      <i/>
      <sz val="8"/>
      <name val="Calibri"/>
      <family val="2"/>
      <scheme val="minor"/>
    </font>
    <font>
      <b/>
      <sz val="9"/>
      <color rgb="FFFF0000"/>
      <name val="Calibri"/>
      <family val="2"/>
    </font>
    <font>
      <sz val="9"/>
      <color rgb="FFFF0000"/>
      <name val="Calibri"/>
      <family val="2"/>
    </font>
    <font>
      <b/>
      <u/>
      <sz val="11"/>
      <color theme="1"/>
      <name val="Calibri"/>
      <family val="2"/>
    </font>
    <font>
      <b/>
      <sz val="9"/>
      <color theme="0"/>
      <name val="Calibri"/>
      <family val="2"/>
      <scheme val="minor"/>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color theme="3" tint="-0.499984740745262"/>
      <name val="Calibri"/>
      <family val="2"/>
      <scheme val="minor"/>
    </font>
    <font>
      <sz val="11"/>
      <color theme="1"/>
      <name val="Calibri"/>
      <family val="2"/>
      <scheme val="minor"/>
    </font>
    <font>
      <b/>
      <u/>
      <sz val="11"/>
      <color rgb="FFFF0000"/>
      <name val="Calibri"/>
      <family val="2"/>
    </font>
    <font>
      <b/>
      <u/>
      <sz val="9"/>
      <color theme="1"/>
      <name val="Calibri"/>
      <family val="2"/>
    </font>
    <font>
      <sz val="9"/>
      <color rgb="FF000000"/>
      <name val="Calibri"/>
      <family val="2"/>
    </font>
    <font>
      <b/>
      <sz val="9"/>
      <color theme="0"/>
      <name val="Calibri"/>
      <family val="2"/>
    </font>
    <font>
      <i/>
      <sz val="9"/>
      <name val="Calibri"/>
      <family val="2"/>
    </font>
    <font>
      <i/>
      <sz val="9"/>
      <color rgb="FF000000"/>
      <name val="Calibri"/>
      <family val="2"/>
    </font>
    <font>
      <i/>
      <u/>
      <sz val="9"/>
      <color rgb="FFFF0000"/>
      <name val="Calibri"/>
      <family val="2"/>
    </font>
    <font>
      <sz val="10"/>
      <color indexed="8"/>
      <name val="Arial"/>
      <family val="2"/>
    </font>
    <font>
      <b/>
      <sz val="11"/>
      <color theme="1"/>
      <name val="Calibri"/>
      <family val="2"/>
    </font>
    <font>
      <b/>
      <sz val="11"/>
      <color theme="4"/>
      <name val="Calibri"/>
      <family val="2"/>
    </font>
    <font>
      <sz val="11"/>
      <color theme="1"/>
      <name val="Calibri"/>
      <family val="2"/>
    </font>
    <font>
      <u/>
      <sz val="9"/>
      <color theme="10"/>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b/>
      <sz val="11"/>
      <color theme="0"/>
      <name val="Calibri"/>
      <family val="2"/>
      <scheme val="minor"/>
    </font>
    <font>
      <b/>
      <sz val="8"/>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theme="7" tint="0.79998168889431442"/>
        <bgColor indexed="64"/>
      </patternFill>
    </fill>
    <fill>
      <patternFill patternType="solid">
        <fgColor theme="4"/>
        <bgColor indexed="64"/>
      </patternFill>
    </fill>
    <fill>
      <patternFill patternType="solid">
        <fgColor rgb="FFFF0000"/>
        <bgColor indexed="64"/>
      </patternFill>
    </fill>
    <fill>
      <patternFill patternType="solid">
        <fgColor rgb="FFFFFF99"/>
        <bgColor indexed="64"/>
      </patternFill>
    </fill>
    <fill>
      <patternFill patternType="solid">
        <fgColor rgb="FFFFFFFF"/>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6C67"/>
        <bgColor indexed="64"/>
      </patternFill>
    </fill>
    <fill>
      <patternFill patternType="solid">
        <fgColor rgb="FFF7941E"/>
        <bgColor indexed="64"/>
      </patternFill>
    </fill>
    <fill>
      <patternFill patternType="solid">
        <fgColor theme="0"/>
        <bgColor indexed="64"/>
      </patternFill>
    </fill>
    <fill>
      <patternFill patternType="solid">
        <fgColor theme="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theme="0"/>
      </left>
      <right style="thin">
        <color theme="0"/>
      </right>
      <top style="hair">
        <color rgb="FF0033CC"/>
      </top>
      <bottom style="hair">
        <color rgb="FF0033CC"/>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38" fillId="0" borderId="0" applyNumberFormat="0" applyFill="0" applyBorder="0" applyAlignment="0" applyProtection="0"/>
    <xf numFmtId="170" fontId="42" fillId="0" borderId="0" applyFont="0" applyFill="0" applyBorder="0" applyAlignment="0" applyProtection="0"/>
    <xf numFmtId="43" fontId="1" fillId="0" borderId="0" applyFont="0" applyFill="0" applyBorder="0" applyAlignment="0" applyProtection="0"/>
    <xf numFmtId="0" fontId="50" fillId="0" borderId="0"/>
    <xf numFmtId="0" fontId="54" fillId="0" borderId="0" applyNumberFormat="0" applyFill="0" applyBorder="0" applyAlignment="0" applyProtection="0"/>
  </cellStyleXfs>
  <cellXfs count="463">
    <xf numFmtId="0" fontId="0" fillId="0" borderId="0" xfId="0"/>
    <xf numFmtId="0" fontId="4" fillId="0" borderId="0" xfId="2" quotePrefix="1" applyFont="1" applyAlignment="1">
      <alignment horizontal="left" vertical="top"/>
    </xf>
    <xf numFmtId="0" fontId="5" fillId="0" borderId="0" xfId="2" quotePrefix="1" applyFont="1" applyAlignment="1">
      <alignment horizontal="center" vertical="top"/>
    </xf>
    <xf numFmtId="0" fontId="6" fillId="0" borderId="0" xfId="2" quotePrefix="1" applyFont="1" applyAlignment="1">
      <alignment horizontal="center" vertical="top" wrapText="1"/>
    </xf>
    <xf numFmtId="0" fontId="7" fillId="0" borderId="0" xfId="2" applyFont="1" applyAlignment="1">
      <alignment vertical="top"/>
    </xf>
    <xf numFmtId="0" fontId="8" fillId="0" borderId="0" xfId="2" applyFont="1" applyAlignment="1">
      <alignment vertical="top"/>
    </xf>
    <xf numFmtId="0" fontId="7" fillId="0" borderId="0" xfId="2" applyFont="1" applyBorder="1" applyAlignment="1">
      <alignment vertical="top"/>
    </xf>
    <xf numFmtId="0" fontId="9" fillId="0" borderId="0" xfId="2" quotePrefix="1" applyFont="1" applyAlignment="1">
      <alignment horizontal="left" vertical="top"/>
    </xf>
    <xf numFmtId="0" fontId="7" fillId="0" borderId="4" xfId="2" applyFont="1" applyBorder="1" applyAlignment="1">
      <alignment vertical="top"/>
    </xf>
    <xf numFmtId="0" fontId="10" fillId="0" borderId="0" xfId="2" applyFont="1" applyAlignment="1">
      <alignment vertical="top"/>
    </xf>
    <xf numFmtId="0" fontId="10" fillId="0" borderId="0" xfId="2" applyFont="1" applyBorder="1" applyAlignment="1">
      <alignment vertical="top"/>
    </xf>
    <xf numFmtId="0" fontId="7" fillId="0" borderId="0" xfId="2" applyFont="1" applyAlignment="1">
      <alignment horizontal="center" vertical="top"/>
    </xf>
    <xf numFmtId="0" fontId="7" fillId="8" borderId="9" xfId="2" applyFont="1" applyFill="1" applyBorder="1" applyAlignment="1">
      <alignment vertical="top"/>
    </xf>
    <xf numFmtId="0" fontId="7" fillId="8" borderId="9" xfId="2" applyFont="1" applyFill="1" applyBorder="1" applyAlignment="1">
      <alignment horizontal="center" vertical="top"/>
    </xf>
    <xf numFmtId="0" fontId="8" fillId="8" borderId="9" xfId="2" applyFont="1" applyFill="1" applyBorder="1" applyAlignment="1">
      <alignment horizontal="center" vertical="top" wrapText="1"/>
    </xf>
    <xf numFmtId="0" fontId="7" fillId="8" borderId="9" xfId="2" quotePrefix="1" applyFont="1" applyFill="1" applyBorder="1" applyAlignment="1">
      <alignment horizontal="center" vertical="top"/>
    </xf>
    <xf numFmtId="0" fontId="8" fillId="8" borderId="9" xfId="2" applyFont="1" applyFill="1" applyBorder="1" applyAlignment="1">
      <alignment horizontal="center" vertical="top"/>
    </xf>
    <xf numFmtId="0" fontId="14" fillId="0" borderId="5" xfId="2" applyFont="1" applyBorder="1" applyAlignment="1">
      <alignment horizontal="center" vertical="top"/>
    </xf>
    <xf numFmtId="164" fontId="8" fillId="2" borderId="5" xfId="3" applyNumberFormat="1" applyFont="1" applyFill="1" applyBorder="1" applyAlignment="1">
      <alignment vertical="top"/>
    </xf>
    <xf numFmtId="0" fontId="14" fillId="2" borderId="5" xfId="2" applyFont="1" applyFill="1" applyBorder="1" applyAlignment="1">
      <alignment horizontal="center" vertical="top"/>
    </xf>
    <xf numFmtId="3" fontId="7" fillId="2" borderId="5" xfId="2" applyNumberFormat="1" applyFont="1" applyFill="1" applyBorder="1"/>
    <xf numFmtId="0" fontId="10" fillId="0" borderId="9" xfId="2" applyFont="1" applyBorder="1" applyAlignment="1">
      <alignment vertical="top"/>
    </xf>
    <xf numFmtId="0" fontId="14" fillId="0" borderId="11" xfId="2" applyFont="1" applyBorder="1" applyAlignment="1">
      <alignment horizontal="center" vertical="top"/>
    </xf>
    <xf numFmtId="164" fontId="8" fillId="2" borderId="11" xfId="3" applyNumberFormat="1" applyFont="1" applyFill="1" applyBorder="1" applyAlignment="1">
      <alignment vertical="top"/>
    </xf>
    <xf numFmtId="0" fontId="15" fillId="0" borderId="11" xfId="2" quotePrefix="1" applyFont="1" applyBorder="1" applyAlignment="1">
      <alignment vertical="top"/>
    </xf>
    <xf numFmtId="0" fontId="16" fillId="0" borderId="0" xfId="2" applyFont="1" applyBorder="1" applyAlignment="1">
      <alignment vertical="top"/>
    </xf>
    <xf numFmtId="0" fontId="15" fillId="0" borderId="11" xfId="2" applyFont="1" applyBorder="1" applyAlignment="1">
      <alignment vertical="top"/>
    </xf>
    <xf numFmtId="0" fontId="14" fillId="2" borderId="11" xfId="2" applyFont="1" applyFill="1" applyBorder="1" applyAlignment="1">
      <alignment horizontal="center" vertical="top"/>
    </xf>
    <xf numFmtId="3" fontId="7" fillId="2" borderId="11" xfId="2" applyNumberFormat="1" applyFont="1" applyFill="1" applyBorder="1"/>
    <xf numFmtId="0" fontId="15" fillId="0" borderId="11" xfId="2" quotePrefix="1" applyFont="1" applyBorder="1" applyAlignment="1">
      <alignment horizontal="left" vertical="top"/>
    </xf>
    <xf numFmtId="164" fontId="8" fillId="2" borderId="11" xfId="3" applyNumberFormat="1" applyFont="1" applyFill="1" applyBorder="1" applyAlignment="1">
      <alignment horizontal="center" vertical="top"/>
    </xf>
    <xf numFmtId="0" fontId="17" fillId="0" borderId="0" xfId="2" applyFont="1" applyBorder="1" applyAlignment="1">
      <alignment vertical="top"/>
    </xf>
    <xf numFmtId="0" fontId="13" fillId="0" borderId="9" xfId="2" quotePrefix="1" applyFont="1" applyBorder="1" applyAlignment="1">
      <alignment vertical="top"/>
    </xf>
    <xf numFmtId="0" fontId="14" fillId="0" borderId="9" xfId="2" applyFont="1" applyBorder="1" applyAlignment="1">
      <alignment horizontal="center" vertical="top"/>
    </xf>
    <xf numFmtId="3" fontId="7" fillId="0" borderId="9" xfId="2" applyNumberFormat="1" applyFont="1" applyBorder="1"/>
    <xf numFmtId="164" fontId="8" fillId="2" borderId="9" xfId="3" applyNumberFormat="1" applyFont="1" applyFill="1" applyBorder="1" applyAlignment="1">
      <alignment vertical="top"/>
    </xf>
    <xf numFmtId="0" fontId="18" fillId="0" borderId="0" xfId="2" applyFont="1" applyAlignment="1">
      <alignment vertical="top"/>
    </xf>
    <xf numFmtId="0" fontId="18" fillId="0" borderId="0" xfId="2" applyFont="1" applyAlignment="1">
      <alignment horizontal="center" vertical="top"/>
    </xf>
    <xf numFmtId="0" fontId="19" fillId="0" borderId="0" xfId="2" applyFont="1" applyAlignment="1">
      <alignment horizontal="center" vertical="top" wrapText="1"/>
    </xf>
    <xf numFmtId="3" fontId="18" fillId="0" borderId="0" xfId="2" applyNumberFormat="1" applyFont="1" applyAlignment="1">
      <alignment vertical="top"/>
    </xf>
    <xf numFmtId="3" fontId="19" fillId="0" borderId="0" xfId="2" applyNumberFormat="1" applyFont="1" applyAlignment="1">
      <alignment vertical="top"/>
    </xf>
    <xf numFmtId="165" fontId="18" fillId="0" borderId="0" xfId="2" applyNumberFormat="1" applyFont="1" applyAlignment="1">
      <alignment vertical="top"/>
    </xf>
    <xf numFmtId="0" fontId="18" fillId="0" borderId="0" xfId="2" applyFont="1" applyBorder="1" applyAlignment="1">
      <alignment vertical="top"/>
    </xf>
    <xf numFmtId="3" fontId="18" fillId="0" borderId="0" xfId="2" applyNumberFormat="1" applyFont="1" applyAlignment="1">
      <alignment horizontal="right" vertical="top"/>
    </xf>
    <xf numFmtId="166" fontId="18" fillId="0" borderId="0" xfId="4" applyNumberFormat="1" applyFont="1" applyAlignment="1">
      <alignment vertical="top"/>
    </xf>
    <xf numFmtId="0" fontId="8" fillId="0" borderId="0" xfId="2" applyFont="1" applyAlignment="1">
      <alignment horizontal="center" vertical="top" wrapText="1"/>
    </xf>
    <xf numFmtId="0" fontId="21" fillId="0" borderId="0" xfId="2" applyFont="1" applyAlignment="1">
      <alignment vertical="top"/>
    </xf>
    <xf numFmtId="166" fontId="22" fillId="4" borderId="9" xfId="2" quotePrefix="1" applyNumberFormat="1" applyFont="1" applyFill="1" applyBorder="1" applyAlignment="1">
      <alignment horizontal="center" vertical="top" wrapText="1"/>
    </xf>
    <xf numFmtId="0" fontId="22" fillId="4" borderId="9" xfId="2" quotePrefix="1" applyFont="1" applyFill="1" applyBorder="1" applyAlignment="1">
      <alignment horizontal="center" vertical="top" wrapText="1"/>
    </xf>
    <xf numFmtId="0" fontId="10" fillId="0" borderId="0" xfId="2" applyFont="1" applyAlignment="1">
      <alignment horizontal="center" vertical="top"/>
    </xf>
    <xf numFmtId="0" fontId="10" fillId="0" borderId="0" xfId="2" applyFont="1" applyBorder="1" applyAlignment="1">
      <alignment horizontal="center" vertical="top"/>
    </xf>
    <xf numFmtId="0" fontId="12" fillId="0" borderId="0" xfId="2" applyFont="1" applyFill="1" applyBorder="1" applyAlignment="1">
      <alignment horizontal="center" vertical="top"/>
    </xf>
    <xf numFmtId="0" fontId="12" fillId="4" borderId="9" xfId="2" quotePrefix="1" applyFont="1" applyFill="1" applyBorder="1" applyAlignment="1">
      <alignment horizontal="center" vertical="top" wrapText="1"/>
    </xf>
    <xf numFmtId="0" fontId="12" fillId="4" borderId="9" xfId="2" quotePrefix="1" applyFont="1" applyFill="1" applyBorder="1" applyAlignment="1">
      <alignment horizontal="center" vertical="top"/>
    </xf>
    <xf numFmtId="0" fontId="12" fillId="0" borderId="0" xfId="2" applyFont="1" applyAlignment="1">
      <alignment horizontal="center" vertical="top"/>
    </xf>
    <xf numFmtId="0" fontId="12" fillId="0" borderId="0" xfId="2" applyFont="1" applyBorder="1" applyAlignment="1">
      <alignment horizontal="center" vertical="top"/>
    </xf>
    <xf numFmtId="167" fontId="7" fillId="0" borderId="9" xfId="4" applyNumberFormat="1" applyFont="1" applyBorder="1" applyAlignment="1">
      <alignment vertical="top"/>
    </xf>
    <xf numFmtId="167" fontId="10" fillId="0" borderId="9" xfId="4" applyNumberFormat="1" applyFont="1" applyBorder="1" applyAlignment="1">
      <alignment vertical="top"/>
    </xf>
    <xf numFmtId="167" fontId="10" fillId="3" borderId="9" xfId="4" applyNumberFormat="1" applyFont="1" applyFill="1" applyBorder="1" applyAlignment="1">
      <alignment vertical="top"/>
    </xf>
    <xf numFmtId="0" fontId="18" fillId="0" borderId="0" xfId="2" applyFont="1" applyAlignment="1">
      <alignment horizontal="right" vertical="top"/>
    </xf>
    <xf numFmtId="167" fontId="18" fillId="0" borderId="0" xfId="4" applyNumberFormat="1" applyFont="1" applyAlignment="1">
      <alignment vertical="top"/>
    </xf>
    <xf numFmtId="167" fontId="18" fillId="0" borderId="0" xfId="2" applyNumberFormat="1" applyFont="1" applyAlignment="1">
      <alignment vertical="top"/>
    </xf>
    <xf numFmtId="168" fontId="18" fillId="0" borderId="0" xfId="3" applyNumberFormat="1" applyFont="1" applyAlignment="1">
      <alignment vertical="top"/>
    </xf>
    <xf numFmtId="1" fontId="18" fillId="0" borderId="0" xfId="4" applyNumberFormat="1" applyFont="1" applyAlignment="1">
      <alignment vertical="top"/>
    </xf>
    <xf numFmtId="0" fontId="12" fillId="6" borderId="9" xfId="2" quotePrefix="1" applyFont="1" applyFill="1" applyBorder="1" applyAlignment="1">
      <alignment horizontal="center" vertical="top"/>
    </xf>
    <xf numFmtId="0" fontId="18" fillId="0" borderId="9" xfId="2" applyFont="1" applyBorder="1" applyAlignment="1">
      <alignment horizontal="center" vertical="top"/>
    </xf>
    <xf numFmtId="166" fontId="14" fillId="0" borderId="9" xfId="4" applyNumberFormat="1" applyFont="1" applyBorder="1" applyAlignment="1">
      <alignment vertical="top"/>
    </xf>
    <xf numFmtId="166" fontId="14" fillId="0" borderId="9" xfId="4" applyNumberFormat="1" applyFont="1" applyBorder="1"/>
    <xf numFmtId="10" fontId="4" fillId="0" borderId="9" xfId="4" applyNumberFormat="1" applyFont="1" applyBorder="1"/>
    <xf numFmtId="2" fontId="13" fillId="0" borderId="9" xfId="4" applyNumberFormat="1" applyFont="1" applyBorder="1" applyAlignment="1">
      <alignment vertical="top"/>
    </xf>
    <xf numFmtId="10" fontId="23" fillId="0" borderId="9" xfId="4" applyNumberFormat="1" applyFont="1" applyBorder="1"/>
    <xf numFmtId="166" fontId="7" fillId="0" borderId="0" xfId="2" applyNumberFormat="1" applyFont="1" applyAlignment="1">
      <alignment vertical="top"/>
    </xf>
    <xf numFmtId="0" fontId="12" fillId="10" borderId="9" xfId="2" quotePrefix="1" applyFont="1" applyFill="1" applyBorder="1" applyAlignment="1">
      <alignment horizontal="center" vertical="top"/>
    </xf>
    <xf numFmtId="0" fontId="18" fillId="0" borderId="0" xfId="2" applyFont="1" applyFill="1" applyBorder="1" applyAlignment="1">
      <alignment horizontal="right" vertical="top"/>
    </xf>
    <xf numFmtId="167" fontId="7" fillId="0" borderId="0" xfId="2" applyNumberFormat="1" applyFont="1" applyAlignment="1">
      <alignment vertical="top"/>
    </xf>
    <xf numFmtId="0" fontId="13" fillId="0" borderId="5" xfId="2" applyFont="1" applyBorder="1" applyAlignment="1">
      <alignment vertical="top"/>
    </xf>
    <xf numFmtId="0" fontId="14" fillId="0" borderId="11" xfId="2" applyFont="1" applyBorder="1" applyAlignment="1">
      <alignment vertical="top"/>
    </xf>
    <xf numFmtId="0" fontId="14" fillId="0" borderId="11" xfId="2" quotePrefix="1" applyFont="1" applyBorder="1" applyAlignment="1">
      <alignment vertical="top"/>
    </xf>
    <xf numFmtId="0" fontId="13" fillId="0" borderId="5" xfId="2" quotePrefix="1" applyFont="1" applyBorder="1" applyAlignment="1">
      <alignment vertical="top" wrapText="1"/>
    </xf>
    <xf numFmtId="0" fontId="9" fillId="0" borderId="0" xfId="2" applyFont="1" applyAlignment="1">
      <alignment vertical="top"/>
    </xf>
    <xf numFmtId="0" fontId="26" fillId="0" borderId="0" xfId="0" applyFont="1" applyFill="1" applyBorder="1" applyAlignment="1">
      <alignment vertical="center"/>
    </xf>
    <xf numFmtId="0" fontId="7" fillId="0" borderId="0" xfId="2" applyFont="1" applyFill="1" applyBorder="1" applyAlignment="1">
      <alignment horizontal="center" vertical="top"/>
    </xf>
    <xf numFmtId="3" fontId="14" fillId="0" borderId="2" xfId="2" applyNumberFormat="1" applyFont="1" applyBorder="1" applyAlignment="1">
      <alignment vertical="top"/>
    </xf>
    <xf numFmtId="0" fontId="14" fillId="0" borderId="9" xfId="2" applyFont="1" applyFill="1" applyBorder="1" applyAlignment="1">
      <alignment horizontal="left" vertical="top"/>
    </xf>
    <xf numFmtId="0" fontId="14" fillId="0" borderId="9" xfId="2" quotePrefix="1" applyFont="1" applyFill="1" applyBorder="1" applyAlignment="1">
      <alignment horizontal="left" vertical="top"/>
    </xf>
    <xf numFmtId="0" fontId="13" fillId="0" borderId="9" xfId="2" applyFont="1" applyFill="1" applyBorder="1" applyAlignment="1">
      <alignment horizontal="left" vertical="top"/>
    </xf>
    <xf numFmtId="0" fontId="18" fillId="0" borderId="0" xfId="2" quotePrefix="1" applyFont="1" applyAlignment="1">
      <alignment horizontal="left" vertical="top"/>
    </xf>
    <xf numFmtId="0" fontId="30" fillId="9" borderId="9" xfId="2" applyFont="1" applyFill="1" applyBorder="1" applyAlignment="1">
      <alignment horizontal="center" vertical="center"/>
    </xf>
    <xf numFmtId="166" fontId="12" fillId="4" borderId="9" xfId="2" quotePrefix="1" applyNumberFormat="1" applyFont="1" applyFill="1" applyBorder="1" applyAlignment="1">
      <alignment horizontal="center" vertical="top" wrapText="1"/>
    </xf>
    <xf numFmtId="166" fontId="31" fillId="4" borderId="9" xfId="2" quotePrefix="1" applyNumberFormat="1" applyFont="1" applyFill="1" applyBorder="1" applyAlignment="1">
      <alignment horizontal="center" vertical="top" wrapText="1"/>
    </xf>
    <xf numFmtId="0" fontId="31" fillId="4" borderId="9" xfId="2" quotePrefix="1" applyFont="1" applyFill="1" applyBorder="1" applyAlignment="1">
      <alignment horizontal="center" vertical="top" wrapText="1"/>
    </xf>
    <xf numFmtId="166" fontId="15" fillId="4" borderId="9" xfId="2" quotePrefix="1" applyNumberFormat="1" applyFont="1" applyFill="1" applyBorder="1" applyAlignment="1">
      <alignment horizontal="center" vertical="top"/>
    </xf>
    <xf numFmtId="0" fontId="15" fillId="4" borderId="9" xfId="2" quotePrefix="1" applyFont="1" applyFill="1" applyBorder="1" applyAlignment="1">
      <alignment horizontal="center" vertical="top" wrapText="1"/>
    </xf>
    <xf numFmtId="0" fontId="15" fillId="4" borderId="9" xfId="2" quotePrefix="1" applyFont="1" applyFill="1" applyBorder="1" applyAlignment="1">
      <alignment horizontal="center" vertical="top"/>
    </xf>
    <xf numFmtId="0" fontId="20" fillId="0" borderId="0" xfId="0" applyFont="1" applyAlignment="1"/>
    <xf numFmtId="0" fontId="8" fillId="0" borderId="0" xfId="0" applyFont="1" applyAlignment="1">
      <alignment horizontal="center" vertical="top" wrapText="1"/>
    </xf>
    <xf numFmtId="0" fontId="7" fillId="0" borderId="0" xfId="0" applyFont="1" applyAlignment="1">
      <alignment vertical="top"/>
    </xf>
    <xf numFmtId="0" fontId="7" fillId="4" borderId="9" xfId="0" applyFont="1" applyFill="1" applyBorder="1" applyAlignment="1">
      <alignment horizontal="center" vertical="top"/>
    </xf>
    <xf numFmtId="0" fontId="14" fillId="6" borderId="9" xfId="0" quotePrefix="1" applyFont="1" applyFill="1" applyBorder="1" applyAlignment="1">
      <alignment horizontal="center" vertical="top" wrapText="1"/>
    </xf>
    <xf numFmtId="0" fontId="4" fillId="6" borderId="9" xfId="0" quotePrefix="1" applyFont="1" applyFill="1" applyBorder="1" applyAlignment="1">
      <alignment horizontal="center" vertical="top" wrapText="1"/>
    </xf>
    <xf numFmtId="0" fontId="10" fillId="0" borderId="9" xfId="0" applyFont="1" applyFill="1" applyBorder="1" applyAlignment="1">
      <alignment horizontal="left" vertical="top"/>
    </xf>
    <xf numFmtId="0" fontId="14" fillId="0" borderId="9" xfId="0" quotePrefix="1" applyFont="1" applyFill="1" applyBorder="1" applyAlignment="1">
      <alignment horizontal="center" vertical="top" wrapText="1"/>
    </xf>
    <xf numFmtId="0" fontId="4" fillId="0" borderId="9" xfId="0" quotePrefix="1" applyFont="1" applyFill="1" applyBorder="1" applyAlignment="1">
      <alignment horizontal="center" vertical="top" wrapText="1"/>
    </xf>
    <xf numFmtId="0" fontId="14" fillId="0" borderId="9" xfId="0" applyFont="1" applyBorder="1" applyAlignment="1">
      <alignment vertical="top"/>
    </xf>
    <xf numFmtId="0" fontId="14" fillId="0" borderId="9" xfId="0" applyFont="1" applyBorder="1" applyAlignment="1">
      <alignment horizontal="left" vertical="top"/>
    </xf>
    <xf numFmtId="0" fontId="14" fillId="0" borderId="9" xfId="0" quotePrefix="1" applyFont="1" applyBorder="1" applyAlignment="1">
      <alignment horizontal="left" vertical="top"/>
    </xf>
    <xf numFmtId="0" fontId="13" fillId="0" borderId="9" xfId="0" applyFont="1" applyBorder="1" applyAlignment="1">
      <alignment vertical="top"/>
    </xf>
    <xf numFmtId="0" fontId="18" fillId="0" borderId="0" xfId="0" applyFont="1" applyAlignment="1">
      <alignment vertical="top"/>
    </xf>
    <xf numFmtId="166" fontId="18" fillId="0" borderId="0" xfId="0" applyNumberFormat="1" applyFont="1" applyAlignment="1">
      <alignment horizontal="right" vertical="top" wrapText="1"/>
    </xf>
    <xf numFmtId="0" fontId="8" fillId="0" borderId="0" xfId="0" applyFont="1"/>
    <xf numFmtId="0" fontId="4" fillId="0" borderId="0" xfId="0" applyFont="1"/>
    <xf numFmtId="0" fontId="7" fillId="0" borderId="0" xfId="0" applyFont="1"/>
    <xf numFmtId="0" fontId="9" fillId="0" borderId="0" xfId="0" applyFont="1" applyAlignment="1"/>
    <xf numFmtId="0" fontId="9" fillId="0" borderId="0" xfId="2" quotePrefix="1" applyFont="1" applyBorder="1" applyAlignment="1">
      <alignment horizontal="left" vertical="top"/>
    </xf>
    <xf numFmtId="0" fontId="5" fillId="0" borderId="0" xfId="2" quotePrefix="1" applyFont="1" applyBorder="1" applyAlignment="1">
      <alignment horizontal="center" vertical="top"/>
    </xf>
    <xf numFmtId="0" fontId="6" fillId="0" borderId="0" xfId="2" quotePrefix="1" applyFont="1" applyBorder="1" applyAlignment="1">
      <alignment horizontal="center" vertical="top" wrapText="1"/>
    </xf>
    <xf numFmtId="0" fontId="4" fillId="2" borderId="0" xfId="2" quotePrefix="1"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horizontal="center" vertical="top" wrapText="1"/>
    </xf>
    <xf numFmtId="165" fontId="14" fillId="2" borderId="9" xfId="2" applyNumberFormat="1" applyFont="1" applyFill="1" applyBorder="1" applyAlignment="1">
      <alignment vertical="top"/>
    </xf>
    <xf numFmtId="166" fontId="14" fillId="2" borderId="9" xfId="1" applyNumberFormat="1" applyFont="1" applyFill="1" applyBorder="1" applyAlignment="1">
      <alignment vertical="top"/>
    </xf>
    <xf numFmtId="0" fontId="14" fillId="0" borderId="2" xfId="2" quotePrefix="1" applyFont="1" applyBorder="1" applyAlignment="1">
      <alignment horizontal="left" vertical="top"/>
    </xf>
    <xf numFmtId="0" fontId="14" fillId="0" borderId="0" xfId="2" quotePrefix="1" applyFont="1" applyBorder="1" applyAlignment="1">
      <alignment horizontal="left" vertical="top"/>
    </xf>
    <xf numFmtId="166" fontId="13" fillId="0" borderId="9" xfId="4" applyNumberFormat="1" applyFont="1" applyBorder="1" applyAlignment="1">
      <alignment vertical="top"/>
    </xf>
    <xf numFmtId="0" fontId="18" fillId="0" borderId="5" xfId="2" applyFont="1" applyBorder="1" applyAlignment="1">
      <alignment horizontal="center" vertical="top"/>
    </xf>
    <xf numFmtId="0" fontId="18" fillId="0" borderId="11" xfId="2" applyFont="1" applyBorder="1" applyAlignment="1">
      <alignment horizontal="center" vertical="top"/>
    </xf>
    <xf numFmtId="0" fontId="18" fillId="0" borderId="10" xfId="2" applyFont="1" applyBorder="1" applyAlignment="1">
      <alignment horizontal="center" vertical="top"/>
    </xf>
    <xf numFmtId="0" fontId="20" fillId="0" borderId="0" xfId="0" applyFont="1" applyFill="1" applyBorder="1" applyAlignment="1"/>
    <xf numFmtId="0" fontId="8" fillId="0" borderId="0" xfId="0" applyFont="1" applyFill="1" applyBorder="1" applyAlignment="1">
      <alignment horizontal="center" vertical="top" wrapText="1"/>
    </xf>
    <xf numFmtId="0" fontId="7" fillId="0" borderId="0" xfId="0" applyFont="1" applyFill="1" applyBorder="1" applyAlignment="1">
      <alignment vertical="top"/>
    </xf>
    <xf numFmtId="0" fontId="14" fillId="0" borderId="7" xfId="0" quotePrefix="1" applyFont="1" applyFill="1" applyBorder="1" applyAlignment="1">
      <alignment horizontal="center" vertical="top" wrapText="1"/>
    </xf>
    <xf numFmtId="10" fontId="23" fillId="0" borderId="7" xfId="4" applyNumberFormat="1" applyFont="1" applyFill="1" applyBorder="1"/>
    <xf numFmtId="0" fontId="0" fillId="0" borderId="0" xfId="0" applyFill="1" applyBorder="1"/>
    <xf numFmtId="0" fontId="13" fillId="6" borderId="9" xfId="0" quotePrefix="1" applyFont="1" applyFill="1" applyBorder="1" applyAlignment="1">
      <alignment horizontal="center" vertical="top" wrapText="1"/>
    </xf>
    <xf numFmtId="0" fontId="23" fillId="6" borderId="9" xfId="0" quotePrefix="1" applyFont="1" applyFill="1" applyBorder="1" applyAlignment="1">
      <alignment horizontal="center" vertical="top" wrapText="1"/>
    </xf>
    <xf numFmtId="0" fontId="15" fillId="6" borderId="9" xfId="0" quotePrefix="1" applyFont="1" applyFill="1" applyBorder="1" applyAlignment="1">
      <alignment horizontal="center" vertical="top" wrapText="1"/>
    </xf>
    <xf numFmtId="0" fontId="7" fillId="0" borderId="9" xfId="0" applyFont="1" applyFill="1" applyBorder="1" applyAlignment="1">
      <alignment vertical="top"/>
    </xf>
    <xf numFmtId="0" fontId="7" fillId="0" borderId="9" xfId="0" quotePrefix="1" applyFont="1" applyFill="1" applyBorder="1" applyAlignment="1">
      <alignment horizontal="left" vertical="top"/>
    </xf>
    <xf numFmtId="0" fontId="14" fillId="0" borderId="11" xfId="2" quotePrefix="1" applyFont="1" applyBorder="1" applyAlignment="1">
      <alignment horizontal="left" vertical="top"/>
    </xf>
    <xf numFmtId="3" fontId="18" fillId="0" borderId="0" xfId="2" quotePrefix="1" applyNumberFormat="1" applyFont="1" applyAlignment="1">
      <alignment horizontal="left" vertical="top"/>
    </xf>
    <xf numFmtId="4" fontId="18" fillId="0" borderId="0" xfId="2" applyNumberFormat="1" applyFont="1" applyAlignment="1">
      <alignment vertical="top"/>
    </xf>
    <xf numFmtId="4" fontId="14" fillId="2" borderId="9" xfId="2" applyNumberFormat="1" applyFont="1" applyFill="1" applyBorder="1" applyAlignment="1">
      <alignment vertical="top"/>
    </xf>
    <xf numFmtId="165" fontId="7" fillId="0" borderId="9" xfId="0" applyNumberFormat="1" applyFont="1" applyBorder="1" applyAlignment="1">
      <alignment horizontal="right" vertical="top"/>
    </xf>
    <xf numFmtId="4" fontId="18" fillId="0" borderId="0" xfId="0" applyNumberFormat="1" applyFont="1" applyAlignment="1">
      <alignment horizontal="right" vertical="top"/>
    </xf>
    <xf numFmtId="4" fontId="7" fillId="0" borderId="9" xfId="0" applyNumberFormat="1" applyFont="1" applyBorder="1" applyAlignment="1">
      <alignment horizontal="right" vertical="top"/>
    </xf>
    <xf numFmtId="169" fontId="7" fillId="0" borderId="9" xfId="0" applyNumberFormat="1" applyFont="1" applyBorder="1" applyAlignment="1">
      <alignment horizontal="right" vertical="top"/>
    </xf>
    <xf numFmtId="0" fontId="7" fillId="0" borderId="0" xfId="0" applyFont="1" applyAlignment="1">
      <alignment horizontal="right" vertical="top"/>
    </xf>
    <xf numFmtId="0" fontId="9" fillId="0" borderId="0" xfId="0" quotePrefix="1" applyFont="1" applyAlignment="1">
      <alignment horizontal="left" vertical="top"/>
    </xf>
    <xf numFmtId="0" fontId="0" fillId="0" borderId="9" xfId="0" applyBorder="1" applyAlignment="1">
      <alignment horizontal="center"/>
    </xf>
    <xf numFmtId="0" fontId="2" fillId="4" borderId="9"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9" xfId="0" quotePrefix="1" applyFont="1" applyFill="1" applyBorder="1" applyAlignment="1">
      <alignment horizontal="center" vertical="top" wrapText="1"/>
    </xf>
    <xf numFmtId="0" fontId="18" fillId="0" borderId="0" xfId="0" applyFont="1" applyAlignment="1">
      <alignment horizontal="right" vertical="top"/>
    </xf>
    <xf numFmtId="0" fontId="32" fillId="3" borderId="0" xfId="0" applyFont="1" applyFill="1"/>
    <xf numFmtId="0" fontId="2" fillId="3" borderId="0" xfId="0" applyFont="1" applyFill="1"/>
    <xf numFmtId="0" fontId="29" fillId="0" borderId="1" xfId="0" applyFont="1" applyFill="1" applyBorder="1" applyAlignment="1">
      <alignment vertical="center"/>
    </xf>
    <xf numFmtId="0" fontId="29" fillId="11" borderId="12" xfId="0" applyFont="1" applyFill="1" applyBorder="1" applyAlignment="1">
      <alignment vertical="center"/>
    </xf>
    <xf numFmtId="0" fontId="28" fillId="0" borderId="12" xfId="0" applyFont="1" applyBorder="1" applyAlignment="1">
      <alignment horizontal="left" vertical="center"/>
    </xf>
    <xf numFmtId="0" fontId="28" fillId="11" borderId="12" xfId="0" applyFont="1" applyFill="1" applyBorder="1" applyAlignment="1">
      <alignment horizontal="left" vertical="center"/>
    </xf>
    <xf numFmtId="0" fontId="14" fillId="0" borderId="12" xfId="2" quotePrefix="1" applyFont="1" applyBorder="1" applyAlignment="1">
      <alignment horizontal="left" vertical="top"/>
    </xf>
    <xf numFmtId="0" fontId="29" fillId="11" borderId="1" xfId="0" applyFont="1" applyFill="1" applyBorder="1" applyAlignment="1">
      <alignment vertical="center"/>
    </xf>
    <xf numFmtId="0" fontId="14" fillId="0" borderId="12" xfId="2" applyFont="1" applyBorder="1" applyAlignment="1">
      <alignment vertical="top"/>
    </xf>
    <xf numFmtId="0" fontId="28" fillId="11" borderId="3" xfId="0" applyFont="1" applyFill="1" applyBorder="1" applyAlignment="1">
      <alignment horizontal="left" vertical="center"/>
    </xf>
    <xf numFmtId="0" fontId="29" fillId="0" borderId="6" xfId="0" quotePrefix="1" applyFont="1" applyBorder="1" applyAlignment="1">
      <alignment horizontal="left" vertical="center"/>
    </xf>
    <xf numFmtId="0" fontId="19" fillId="0" borderId="9" xfId="2" applyFont="1" applyBorder="1" applyAlignment="1">
      <alignment horizontal="center" vertical="top" wrapText="1"/>
    </xf>
    <xf numFmtId="0" fontId="29" fillId="0" borderId="6" xfId="0" applyFont="1" applyBorder="1" applyAlignment="1">
      <alignment vertical="center"/>
    </xf>
    <xf numFmtId="3" fontId="14" fillId="2" borderId="8" xfId="2" applyNumberFormat="1" applyFont="1" applyFill="1" applyBorder="1" applyAlignment="1">
      <alignment vertical="top"/>
    </xf>
    <xf numFmtId="0" fontId="4" fillId="3" borderId="9" xfId="2" applyFont="1" applyFill="1" applyBorder="1" applyAlignment="1">
      <alignment horizontal="center"/>
    </xf>
    <xf numFmtId="0" fontId="4" fillId="0" borderId="9" xfId="2" applyFont="1" applyBorder="1" applyAlignment="1">
      <alignment horizontal="center"/>
    </xf>
    <xf numFmtId="0" fontId="12" fillId="10" borderId="9" xfId="2" applyFont="1" applyFill="1" applyBorder="1" applyAlignment="1">
      <alignment horizontal="center" vertical="top"/>
    </xf>
    <xf numFmtId="0" fontId="12" fillId="6" borderId="9" xfId="2" applyFont="1" applyFill="1" applyBorder="1" applyAlignment="1">
      <alignment horizontal="center" vertical="top"/>
    </xf>
    <xf numFmtId="0" fontId="12" fillId="7" borderId="9" xfId="2" quotePrefix="1" applyFont="1" applyFill="1" applyBorder="1" applyAlignment="1">
      <alignment horizontal="center" vertical="top"/>
    </xf>
    <xf numFmtId="0" fontId="12" fillId="7" borderId="9" xfId="2" applyFont="1" applyFill="1" applyBorder="1" applyAlignment="1">
      <alignment horizontal="center" vertical="top"/>
    </xf>
    <xf numFmtId="0" fontId="19" fillId="5" borderId="9" xfId="2" quotePrefix="1" applyFont="1" applyFill="1" applyBorder="1" applyAlignment="1">
      <alignment horizontal="center" vertical="top"/>
    </xf>
    <xf numFmtId="0" fontId="19" fillId="5" borderId="9" xfId="2" applyFont="1" applyFill="1" applyBorder="1" applyAlignment="1">
      <alignment horizontal="center" vertical="top"/>
    </xf>
    <xf numFmtId="0" fontId="12" fillId="12" borderId="9" xfId="2" quotePrefix="1" applyFont="1" applyFill="1" applyBorder="1" applyAlignment="1">
      <alignment horizontal="center" vertical="top"/>
    </xf>
    <xf numFmtId="0" fontId="12" fillId="12" borderId="9" xfId="2" applyFont="1" applyFill="1" applyBorder="1" applyAlignment="1">
      <alignment horizontal="center" vertical="top"/>
    </xf>
    <xf numFmtId="0" fontId="12" fillId="13" borderId="8" xfId="2" quotePrefix="1" applyFont="1" applyFill="1" applyBorder="1" applyAlignment="1">
      <alignment horizontal="center" vertical="top"/>
    </xf>
    <xf numFmtId="0" fontId="12" fillId="13" borderId="9" xfId="2" quotePrefix="1" applyFont="1" applyFill="1" applyBorder="1" applyAlignment="1">
      <alignment horizontal="center" vertical="top"/>
    </xf>
    <xf numFmtId="0" fontId="12" fillId="13" borderId="9" xfId="2" applyFont="1" applyFill="1" applyBorder="1" applyAlignment="1">
      <alignment horizontal="center" vertical="top"/>
    </xf>
    <xf numFmtId="0" fontId="27" fillId="14" borderId="9" xfId="0" quotePrefix="1" applyFont="1" applyFill="1" applyBorder="1" applyAlignment="1">
      <alignment horizontal="center" vertical="top" wrapText="1"/>
    </xf>
    <xf numFmtId="0" fontId="27" fillId="14" borderId="9" xfId="0" applyFont="1" applyFill="1" applyBorder="1" applyAlignment="1">
      <alignment horizontal="center" vertical="top" wrapText="1"/>
    </xf>
    <xf numFmtId="3" fontId="7" fillId="0" borderId="11" xfId="0" applyNumberFormat="1" applyFont="1" applyBorder="1"/>
    <xf numFmtId="3" fontId="7" fillId="0" borderId="9" xfId="0" applyNumberFormat="1" applyFont="1" applyBorder="1"/>
    <xf numFmtId="0" fontId="13" fillId="0" borderId="0" xfId="2" applyFont="1" applyAlignment="1">
      <alignment horizontal="center" vertical="top"/>
    </xf>
    <xf numFmtId="3" fontId="19" fillId="0" borderId="0" xfId="2" applyNumberFormat="1" applyFont="1" applyAlignment="1">
      <alignment horizontal="center" vertical="top"/>
    </xf>
    <xf numFmtId="0" fontId="13" fillId="0" borderId="0" xfId="2" quotePrefix="1" applyFont="1" applyAlignment="1">
      <alignment horizontal="center" vertical="top" wrapText="1"/>
    </xf>
    <xf numFmtId="3" fontId="18" fillId="0" borderId="0" xfId="2" applyNumberFormat="1" applyFont="1" applyAlignment="1">
      <alignment horizontal="center" vertical="top"/>
    </xf>
    <xf numFmtId="3" fontId="26" fillId="0" borderId="0" xfId="0" applyNumberFormat="1" applyFont="1" applyFill="1" applyBorder="1" applyAlignment="1">
      <alignment vertical="center"/>
    </xf>
    <xf numFmtId="3" fontId="7" fillId="0" borderId="5" xfId="0" applyNumberFormat="1" applyFont="1" applyBorder="1"/>
    <xf numFmtId="3" fontId="16" fillId="0" borderId="11" xfId="0" applyNumberFormat="1" applyFont="1" applyBorder="1" applyAlignment="1">
      <alignment vertical="top"/>
    </xf>
    <xf numFmtId="3" fontId="14" fillId="2" borderId="9" xfId="2" applyNumberFormat="1" applyFont="1" applyFill="1" applyBorder="1" applyAlignment="1">
      <alignment vertical="top"/>
    </xf>
    <xf numFmtId="166" fontId="18" fillId="0" borderId="0" xfId="1" applyNumberFormat="1" applyFont="1" applyAlignment="1">
      <alignment vertical="top"/>
    </xf>
    <xf numFmtId="0" fontId="34"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10" fillId="0" borderId="9" xfId="0" applyFont="1" applyBorder="1" applyAlignment="1">
      <alignment horizontal="center" vertical="top" wrapText="1"/>
    </xf>
    <xf numFmtId="0" fontId="10" fillId="0" borderId="9" xfId="0" applyFont="1" applyBorder="1" applyAlignment="1">
      <alignment horizontal="center" vertical="top"/>
    </xf>
    <xf numFmtId="0" fontId="10" fillId="0" borderId="12" xfId="0" applyFont="1" applyBorder="1" applyAlignment="1">
      <alignment vertical="top"/>
    </xf>
    <xf numFmtId="0" fontId="0" fillId="0" borderId="9" xfId="0" applyBorder="1" applyAlignment="1">
      <alignment vertical="top"/>
    </xf>
    <xf numFmtId="0" fontId="10" fillId="0" borderId="11" xfId="0" applyFont="1" applyBorder="1" applyAlignment="1">
      <alignment horizontal="center" vertical="top"/>
    </xf>
    <xf numFmtId="9" fontId="7" fillId="0" borderId="11" xfId="4" applyFont="1" applyBorder="1"/>
    <xf numFmtId="9" fontId="7" fillId="0" borderId="11" xfId="4" applyFont="1" applyBorder="1" applyAlignment="1">
      <alignment vertical="top"/>
    </xf>
    <xf numFmtId="0" fontId="34" fillId="0" borderId="0" xfId="0" quotePrefix="1" applyFont="1" applyAlignment="1">
      <alignment horizontal="left" vertical="top"/>
    </xf>
    <xf numFmtId="0" fontId="0" fillId="0" borderId="0" xfId="0" applyFont="1" applyAlignment="1">
      <alignment vertical="top"/>
    </xf>
    <xf numFmtId="0" fontId="36" fillId="0" borderId="0" xfId="0" applyFont="1" applyAlignment="1">
      <alignment vertical="top"/>
    </xf>
    <xf numFmtId="0" fontId="37" fillId="0" borderId="0" xfId="0" applyFont="1" applyAlignment="1">
      <alignment vertical="top"/>
    </xf>
    <xf numFmtId="0" fontId="37" fillId="0" borderId="0" xfId="0" quotePrefix="1" applyFont="1" applyAlignment="1">
      <alignment horizontal="left" vertical="top"/>
    </xf>
    <xf numFmtId="0" fontId="39" fillId="0" borderId="0" xfId="6" applyFont="1" applyAlignment="1">
      <alignment horizontal="left" vertical="top"/>
    </xf>
    <xf numFmtId="0" fontId="33" fillId="0" borderId="0" xfId="0" applyFont="1" applyAlignment="1">
      <alignment vertical="top"/>
    </xf>
    <xf numFmtId="0" fontId="33" fillId="0" borderId="0" xfId="0" quotePrefix="1" applyFont="1" applyAlignment="1">
      <alignment horizontal="left" vertical="top" wrapText="1"/>
    </xf>
    <xf numFmtId="0" fontId="2" fillId="0" borderId="0" xfId="0" applyFont="1" applyAlignment="1">
      <alignment vertical="top"/>
    </xf>
    <xf numFmtId="0" fontId="40" fillId="0" borderId="0" xfId="0" applyFont="1" applyAlignment="1">
      <alignment horizontal="center" vertical="top"/>
    </xf>
    <xf numFmtId="0" fontId="40" fillId="0" borderId="0" xfId="0" quotePrefix="1" applyFont="1" applyAlignment="1">
      <alignment horizontal="center" vertical="top"/>
    </xf>
    <xf numFmtId="0" fontId="2" fillId="0" borderId="0" xfId="0" applyFont="1" applyAlignment="1">
      <alignment horizontal="center" vertical="top"/>
    </xf>
    <xf numFmtId="0" fontId="2" fillId="0" borderId="0" xfId="0" quotePrefix="1" applyFont="1" applyAlignment="1">
      <alignment horizontal="center" vertical="top"/>
    </xf>
    <xf numFmtId="0" fontId="36" fillId="0" borderId="0" xfId="0" quotePrefix="1" applyFont="1" applyAlignment="1">
      <alignment horizontal="center" vertical="top"/>
    </xf>
    <xf numFmtId="1" fontId="14" fillId="17" borderId="9" xfId="0" applyNumberFormat="1" applyFont="1" applyFill="1" applyBorder="1" applyAlignment="1">
      <alignment horizontal="center" vertical="center"/>
    </xf>
    <xf numFmtId="167" fontId="41" fillId="17" borderId="9" xfId="0" applyNumberFormat="1" applyFont="1" applyFill="1" applyBorder="1" applyAlignment="1">
      <alignment horizontal="left" vertical="center"/>
    </xf>
    <xf numFmtId="167" fontId="14" fillId="17" borderId="9" xfId="0" applyNumberFormat="1" applyFont="1" applyFill="1" applyBorder="1" applyAlignment="1">
      <alignment horizontal="center" vertical="center"/>
    </xf>
    <xf numFmtId="167" fontId="4" fillId="17" borderId="9" xfId="0" applyNumberFormat="1" applyFont="1" applyFill="1" applyBorder="1" applyAlignment="1">
      <alignment horizontal="center" vertical="center"/>
    </xf>
    <xf numFmtId="167" fontId="18" fillId="17" borderId="13" xfId="0" applyNumberFormat="1" applyFont="1" applyFill="1" applyBorder="1" applyAlignment="1">
      <alignment horizontal="center" vertical="center"/>
    </xf>
    <xf numFmtId="0" fontId="43" fillId="0" borderId="0" xfId="0" applyFont="1" applyAlignment="1">
      <alignment vertical="top"/>
    </xf>
    <xf numFmtId="0" fontId="44" fillId="0" borderId="0" xfId="0" applyFont="1" applyAlignment="1">
      <alignment vertical="top"/>
    </xf>
    <xf numFmtId="0" fontId="2" fillId="4" borderId="9" xfId="0" quotePrefix="1" applyFont="1" applyFill="1" applyBorder="1" applyAlignment="1">
      <alignment horizontal="center" vertical="top" wrapText="1"/>
    </xf>
    <xf numFmtId="2" fontId="0" fillId="0" borderId="9" xfId="0" applyNumberFormat="1" applyFont="1" applyBorder="1"/>
    <xf numFmtId="0" fontId="0" fillId="0" borderId="9" xfId="0" applyFont="1" applyBorder="1"/>
    <xf numFmtId="165" fontId="0" fillId="0" borderId="9" xfId="0" applyNumberFormat="1" applyFont="1" applyBorder="1" applyAlignment="1">
      <alignment horizontal="right" vertical="top"/>
    </xf>
    <xf numFmtId="169" fontId="0" fillId="0" borderId="9" xfId="0" applyNumberFormat="1" applyFont="1" applyBorder="1" applyAlignment="1">
      <alignment horizontal="right" vertical="top"/>
    </xf>
    <xf numFmtId="169" fontId="0" fillId="0" borderId="9" xfId="0" applyNumberFormat="1" applyFont="1" applyBorder="1"/>
    <xf numFmtId="165" fontId="0" fillId="0" borderId="9" xfId="0" applyNumberFormat="1" applyFont="1" applyBorder="1"/>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22" fillId="4" borderId="9" xfId="2" quotePrefix="1" applyFont="1" applyFill="1" applyBorder="1" applyAlignment="1">
      <alignment horizontal="center" vertical="top" wrapText="1"/>
    </xf>
    <xf numFmtId="0" fontId="18" fillId="0" borderId="0" xfId="0" quotePrefix="1" applyFont="1" applyAlignment="1">
      <alignment horizontal="center" vertical="top" wrapText="1"/>
    </xf>
    <xf numFmtId="0" fontId="45" fillId="0" borderId="0" xfId="0" applyFont="1" applyAlignment="1">
      <alignment vertical="top"/>
    </xf>
    <xf numFmtId="0" fontId="45" fillId="0" borderId="0" xfId="0" applyFont="1" applyAlignment="1">
      <alignment horizontal="left" vertical="top"/>
    </xf>
    <xf numFmtId="10" fontId="23" fillId="0" borderId="2" xfId="4" applyNumberFormat="1" applyFont="1" applyFill="1" applyBorder="1"/>
    <xf numFmtId="0" fontId="23" fillId="0" borderId="12" xfId="0" quotePrefix="1" applyFont="1" applyFill="1" applyBorder="1" applyAlignment="1">
      <alignment horizontal="center" vertical="top" wrapText="1"/>
    </xf>
    <xf numFmtId="0" fontId="4" fillId="0" borderId="12" xfId="0" quotePrefix="1" applyFont="1" applyFill="1" applyBorder="1" applyAlignment="1">
      <alignment horizontal="center" vertical="top" wrapText="1"/>
    </xf>
    <xf numFmtId="0" fontId="4" fillId="0" borderId="12" xfId="0" applyFont="1" applyFill="1" applyBorder="1"/>
    <xf numFmtId="10" fontId="4" fillId="0" borderId="12" xfId="4" applyNumberFormat="1" applyFont="1" applyFill="1" applyBorder="1"/>
    <xf numFmtId="10" fontId="23" fillId="0" borderId="12" xfId="0" applyNumberFormat="1" applyFont="1" applyFill="1" applyBorder="1"/>
    <xf numFmtId="0" fontId="18" fillId="0" borderId="0" xfId="0" applyFont="1" applyFill="1" applyBorder="1" applyAlignment="1">
      <alignment vertical="top"/>
    </xf>
    <xf numFmtId="10" fontId="23" fillId="0" borderId="9" xfId="1" applyNumberFormat="1" applyFont="1" applyBorder="1"/>
    <xf numFmtId="0" fontId="10" fillId="7" borderId="6" xfId="2" quotePrefix="1" applyFont="1" applyFill="1" applyBorder="1" applyAlignment="1">
      <alignment horizontal="center" vertical="top" wrapText="1"/>
    </xf>
    <xf numFmtId="0" fontId="10" fillId="7" borderId="7" xfId="2" quotePrefix="1" applyFont="1" applyFill="1" applyBorder="1" applyAlignment="1">
      <alignment horizontal="center" vertical="top" wrapText="1"/>
    </xf>
    <xf numFmtId="0" fontId="10" fillId="7" borderId="8" xfId="2" quotePrefix="1" applyFont="1" applyFill="1" applyBorder="1" applyAlignment="1">
      <alignment horizontal="center" vertical="top" wrapText="1"/>
    </xf>
    <xf numFmtId="0" fontId="10" fillId="12" borderId="6" xfId="2" quotePrefix="1" applyFont="1" applyFill="1" applyBorder="1" applyAlignment="1">
      <alignment horizontal="center" vertical="top" wrapText="1"/>
    </xf>
    <xf numFmtId="0" fontId="10" fillId="12" borderId="7" xfId="2" applyFont="1" applyFill="1" applyBorder="1" applyAlignment="1">
      <alignment horizontal="center" vertical="top" wrapText="1"/>
    </xf>
    <xf numFmtId="0" fontId="10" fillId="12" borderId="8" xfId="2" applyFont="1" applyFill="1" applyBorder="1" applyAlignment="1">
      <alignment horizontal="center" vertical="top" wrapText="1"/>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4" borderId="9" xfId="0" applyFont="1" applyFill="1" applyBorder="1" applyAlignment="1">
      <alignment horizontal="center" vertical="center"/>
    </xf>
    <xf numFmtId="0" fontId="10" fillId="10" borderId="6" xfId="2" quotePrefix="1" applyFont="1" applyFill="1" applyBorder="1" applyAlignment="1">
      <alignment horizontal="center" vertical="top"/>
    </xf>
    <xf numFmtId="0" fontId="10" fillId="10" borderId="7" xfId="2" applyFont="1" applyFill="1" applyBorder="1" applyAlignment="1">
      <alignment horizontal="center" vertical="top"/>
    </xf>
    <xf numFmtId="0" fontId="10" fillId="10" borderId="8" xfId="2" applyFont="1" applyFill="1" applyBorder="1" applyAlignment="1">
      <alignment horizontal="center" vertical="top"/>
    </xf>
    <xf numFmtId="0" fontId="11" fillId="5" borderId="9" xfId="2" quotePrefix="1" applyFont="1" applyFill="1" applyBorder="1" applyAlignment="1">
      <alignment horizontal="center" vertical="top" wrapText="1"/>
    </xf>
    <xf numFmtId="0" fontId="10" fillId="4" borderId="5" xfId="2" applyFont="1" applyFill="1" applyBorder="1" applyAlignment="1">
      <alignment horizontal="center" vertical="top"/>
    </xf>
    <xf numFmtId="0" fontId="10" fillId="4" borderId="10" xfId="2" applyFont="1" applyFill="1" applyBorder="1" applyAlignment="1">
      <alignment horizontal="center" vertical="top"/>
    </xf>
    <xf numFmtId="0" fontId="18" fillId="4" borderId="5" xfId="2" quotePrefix="1" applyFont="1" applyFill="1" applyBorder="1" applyAlignment="1">
      <alignment horizontal="center" vertical="top" wrapText="1"/>
    </xf>
    <xf numFmtId="0" fontId="18" fillId="4" borderId="10" xfId="2" quotePrefix="1" applyFont="1" applyFill="1" applyBorder="1" applyAlignment="1">
      <alignment horizontal="center" vertical="top" wrapText="1"/>
    </xf>
    <xf numFmtId="0" fontId="11" fillId="4" borderId="5" xfId="2" quotePrefix="1" applyFont="1" applyFill="1" applyBorder="1" applyAlignment="1">
      <alignment horizontal="center" vertical="top" wrapText="1"/>
    </xf>
    <xf numFmtId="0" fontId="11" fillId="4" borderId="10" xfId="2" applyFont="1" applyFill="1" applyBorder="1" applyAlignment="1">
      <alignment horizontal="center" vertical="top" wrapText="1"/>
    </xf>
    <xf numFmtId="0" fontId="10" fillId="6" borderId="6" xfId="2" quotePrefix="1" applyFont="1" applyFill="1" applyBorder="1" applyAlignment="1">
      <alignment horizontal="center" vertical="top" wrapText="1"/>
    </xf>
    <xf numFmtId="0" fontId="10" fillId="6" borderId="7" xfId="2" quotePrefix="1" applyFont="1" applyFill="1" applyBorder="1" applyAlignment="1">
      <alignment horizontal="center" vertical="top" wrapText="1"/>
    </xf>
    <xf numFmtId="0" fontId="10" fillId="6" borderId="8" xfId="2" quotePrefix="1" applyFont="1" applyFill="1" applyBorder="1" applyAlignment="1">
      <alignment horizontal="center" vertical="top" wrapText="1"/>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4" fillId="0" borderId="4" xfId="2" applyFont="1" applyBorder="1" applyAlignment="1">
      <alignment horizontal="center" vertical="top"/>
    </xf>
    <xf numFmtId="0" fontId="4" fillId="0" borderId="4" xfId="2" quotePrefix="1" applyFont="1" applyBorder="1" applyAlignment="1">
      <alignment horizontal="center" vertical="top"/>
    </xf>
    <xf numFmtId="0" fontId="22" fillId="4" borderId="9" xfId="2" quotePrefix="1" applyFont="1" applyFill="1" applyBorder="1" applyAlignment="1">
      <alignment horizontal="center" vertical="top" wrapText="1"/>
    </xf>
    <xf numFmtId="0" fontId="22" fillId="4" borderId="9" xfId="2" applyFont="1" applyFill="1" applyBorder="1" applyAlignment="1">
      <alignment horizontal="center" vertical="top" wrapText="1"/>
    </xf>
    <xf numFmtId="0" fontId="31" fillId="4" borderId="9" xfId="2" applyFont="1" applyFill="1" applyBorder="1" applyAlignment="1">
      <alignment horizontal="center" vertical="top" wrapText="1"/>
    </xf>
    <xf numFmtId="0" fontId="18" fillId="0" borderId="0" xfId="0" quotePrefix="1" applyFont="1" applyAlignment="1">
      <alignment horizontal="center" vertical="top" wrapText="1"/>
    </xf>
    <xf numFmtId="0" fontId="18" fillId="0" borderId="4" xfId="0" quotePrefix="1" applyFont="1" applyBorder="1" applyAlignment="1">
      <alignment horizontal="center" vertical="top" wrapText="1"/>
    </xf>
    <xf numFmtId="0" fontId="35" fillId="15" borderId="6" xfId="0" applyFont="1" applyFill="1" applyBorder="1" applyAlignment="1">
      <alignment horizontal="center" vertical="top"/>
    </xf>
    <xf numFmtId="0" fontId="35" fillId="15" borderId="7" xfId="0" applyFont="1" applyFill="1" applyBorder="1" applyAlignment="1">
      <alignment horizontal="center" vertical="top"/>
    </xf>
    <xf numFmtId="0" fontId="35" fillId="15" borderId="8" xfId="0" applyFont="1" applyFill="1" applyBorder="1" applyAlignment="1">
      <alignment horizontal="center" vertical="top"/>
    </xf>
    <xf numFmtId="0" fontId="10" fillId="16" borderId="9" xfId="0" applyFont="1" applyFill="1" applyBorder="1" applyAlignment="1">
      <alignment horizontal="center" vertical="top"/>
    </xf>
    <xf numFmtId="0" fontId="33" fillId="0" borderId="0" xfId="0" quotePrefix="1" applyFont="1" applyAlignment="1">
      <alignment horizontal="left" vertical="top" wrapText="1"/>
    </xf>
    <xf numFmtId="0" fontId="2" fillId="0" borderId="0" xfId="0" applyFont="1" applyAlignment="1">
      <alignment horizontal="center" vertical="top"/>
    </xf>
    <xf numFmtId="0" fontId="2" fillId="0" borderId="0" xfId="0" quotePrefix="1" applyFont="1" applyAlignment="1">
      <alignment horizontal="center" vertical="top"/>
    </xf>
    <xf numFmtId="0" fontId="47" fillId="0" borderId="0" xfId="0" applyFont="1" applyAlignment="1">
      <alignment horizontal="left" vertical="top"/>
    </xf>
    <xf numFmtId="0" fontId="48" fillId="0" borderId="0" xfId="0" applyFont="1" applyAlignment="1">
      <alignment horizontal="left"/>
    </xf>
    <xf numFmtId="0" fontId="18" fillId="0" borderId="0" xfId="0" quotePrefix="1" applyFont="1" applyAlignment="1">
      <alignment vertical="top" wrapText="1"/>
    </xf>
    <xf numFmtId="0" fontId="18" fillId="0" borderId="4" xfId="0" quotePrefix="1" applyFont="1" applyBorder="1" applyAlignment="1">
      <alignment vertical="top" wrapText="1"/>
    </xf>
    <xf numFmtId="0" fontId="36" fillId="0" borderId="0" xfId="0" applyFont="1" applyAlignment="1">
      <alignment horizontal="center" vertical="top" wrapText="1"/>
    </xf>
    <xf numFmtId="0" fontId="34" fillId="0" borderId="0" xfId="0" quotePrefix="1" applyFont="1" applyFill="1" applyAlignment="1">
      <alignment horizontal="left" vertical="top"/>
    </xf>
    <xf numFmtId="0" fontId="34" fillId="0" borderId="0" xfId="0" applyFont="1" applyFill="1" applyAlignment="1">
      <alignment vertical="top"/>
    </xf>
    <xf numFmtId="0" fontId="0" fillId="0" borderId="0" xfId="0" applyFill="1" applyAlignment="1">
      <alignment vertical="top"/>
    </xf>
    <xf numFmtId="0" fontId="37" fillId="0" borderId="0" xfId="0" applyFont="1" applyFill="1" applyAlignment="1">
      <alignment vertical="top"/>
    </xf>
    <xf numFmtId="49" fontId="37" fillId="0" borderId="0" xfId="0" applyNumberFormat="1" applyFont="1" applyFill="1" applyAlignment="1">
      <alignment vertical="top"/>
    </xf>
    <xf numFmtId="0" fontId="37" fillId="0" borderId="0" xfId="0" quotePrefix="1" applyFont="1" applyFill="1" applyAlignment="1">
      <alignment horizontal="left" vertical="top"/>
    </xf>
    <xf numFmtId="0" fontId="36" fillId="0" borderId="0" xfId="0" quotePrefix="1" applyFont="1" applyFill="1" applyAlignment="1">
      <alignment horizontal="left" vertical="top"/>
    </xf>
    <xf numFmtId="0" fontId="49" fillId="0" borderId="0" xfId="0" quotePrefix="1" applyFont="1" applyFill="1" applyAlignment="1">
      <alignment horizontal="left" vertical="top"/>
    </xf>
    <xf numFmtId="0" fontId="36" fillId="0" borderId="0" xfId="0" applyFont="1" applyFill="1" applyAlignment="1">
      <alignment vertical="top"/>
    </xf>
    <xf numFmtId="49" fontId="36" fillId="0" borderId="0" xfId="0" applyNumberFormat="1" applyFont="1" applyFill="1" applyAlignment="1">
      <alignment vertical="top"/>
    </xf>
    <xf numFmtId="0" fontId="36" fillId="0" borderId="0" xfId="0" applyFont="1" applyFill="1" applyAlignment="1">
      <alignment horizontal="right" vertical="top"/>
    </xf>
    <xf numFmtId="0" fontId="18" fillId="0" borderId="0" xfId="0" applyFont="1" applyAlignment="1">
      <alignment vertical="top" wrapText="1"/>
    </xf>
    <xf numFmtId="0" fontId="18" fillId="0" borderId="0" xfId="9" applyFont="1" applyFill="1" applyBorder="1" applyAlignment="1">
      <alignment vertical="top"/>
    </xf>
    <xf numFmtId="0" fontId="18" fillId="0" borderId="0" xfId="0" quotePrefix="1" applyFont="1" applyAlignment="1">
      <alignment horizontal="left" vertical="top"/>
    </xf>
    <xf numFmtId="0" fontId="49" fillId="0" borderId="0" xfId="0" applyFont="1" applyFill="1" applyAlignment="1">
      <alignment vertical="top"/>
    </xf>
    <xf numFmtId="0" fontId="51" fillId="4" borderId="1" xfId="0" applyFont="1" applyFill="1" applyBorder="1" applyAlignment="1">
      <alignment horizontal="center" vertical="top"/>
    </xf>
    <xf numFmtId="0" fontId="51" fillId="4" borderId="14" xfId="0" applyFont="1" applyFill="1" applyBorder="1" applyAlignment="1">
      <alignment horizontal="center" vertical="top"/>
    </xf>
    <xf numFmtId="0" fontId="51" fillId="4" borderId="2" xfId="0" applyFont="1" applyFill="1" applyBorder="1" applyAlignment="1">
      <alignment horizontal="center" vertical="top"/>
    </xf>
    <xf numFmtId="0" fontId="51" fillId="4" borderId="6" xfId="0" quotePrefix="1" applyFont="1" applyFill="1" applyBorder="1" applyAlignment="1">
      <alignment horizontal="center" vertical="top"/>
    </xf>
    <xf numFmtId="0" fontId="51" fillId="4" borderId="7" xfId="0" applyFont="1" applyFill="1" applyBorder="1" applyAlignment="1">
      <alignment horizontal="center" vertical="top"/>
    </xf>
    <xf numFmtId="0" fontId="51" fillId="4" borderId="8" xfId="0" applyFont="1" applyFill="1" applyBorder="1" applyAlignment="1">
      <alignment horizontal="center" vertical="top"/>
    </xf>
    <xf numFmtId="0" fontId="52" fillId="4" borderId="6" xfId="0" quotePrefix="1" applyFont="1" applyFill="1" applyBorder="1" applyAlignment="1">
      <alignment horizontal="center" vertical="top"/>
    </xf>
    <xf numFmtId="0" fontId="52" fillId="4" borderId="7" xfId="0" applyFont="1" applyFill="1" applyBorder="1" applyAlignment="1">
      <alignment horizontal="center" vertical="top"/>
    </xf>
    <xf numFmtId="0" fontId="52" fillId="4" borderId="8" xfId="0" applyFont="1" applyFill="1" applyBorder="1" applyAlignment="1">
      <alignment horizontal="center" vertical="top"/>
    </xf>
    <xf numFmtId="0" fontId="53" fillId="0" borderId="0" xfId="0" applyFont="1" applyFill="1" applyAlignment="1">
      <alignment vertical="top"/>
    </xf>
    <xf numFmtId="0" fontId="2" fillId="4" borderId="12" xfId="0" applyFont="1" applyFill="1" applyBorder="1" applyAlignment="1">
      <alignment horizontal="center" vertical="top"/>
    </xf>
    <xf numFmtId="0" fontId="2" fillId="4" borderId="15" xfId="0" applyFont="1" applyFill="1" applyBorder="1" applyAlignment="1">
      <alignment horizontal="center" vertical="top"/>
    </xf>
    <xf numFmtId="0" fontId="2" fillId="4" borderId="0" xfId="0" applyFont="1" applyFill="1" applyBorder="1" applyAlignment="1">
      <alignment horizontal="center" vertical="top"/>
    </xf>
    <xf numFmtId="0" fontId="54" fillId="4" borderId="6" xfId="10" applyFill="1" applyBorder="1" applyAlignment="1">
      <alignment horizontal="center" vertical="top"/>
    </xf>
    <xf numFmtId="0" fontId="54" fillId="4" borderId="7" xfId="10" applyFill="1" applyBorder="1" applyAlignment="1">
      <alignment horizontal="center" vertical="top"/>
    </xf>
    <xf numFmtId="0" fontId="54" fillId="4" borderId="8" xfId="10" applyFill="1" applyBorder="1" applyAlignment="1">
      <alignment horizontal="center" vertical="top"/>
    </xf>
    <xf numFmtId="0" fontId="55" fillId="4" borderId="6" xfId="0" applyFont="1" applyFill="1" applyBorder="1" applyAlignment="1">
      <alignment horizontal="center"/>
    </xf>
    <xf numFmtId="0" fontId="55" fillId="4" borderId="7" xfId="0" applyFont="1" applyFill="1" applyBorder="1" applyAlignment="1">
      <alignment horizontal="center"/>
    </xf>
    <xf numFmtId="0" fontId="55" fillId="4" borderId="8" xfId="0" applyFont="1" applyFill="1" applyBorder="1" applyAlignment="1">
      <alignment horizontal="center"/>
    </xf>
    <xf numFmtId="0" fontId="13" fillId="4" borderId="3" xfId="0" quotePrefix="1" applyNumberFormat="1" applyFont="1" applyFill="1" applyBorder="1" applyAlignment="1">
      <alignment horizontal="center" vertical="top"/>
    </xf>
    <xf numFmtId="0" fontId="13" fillId="4" borderId="16" xfId="0" quotePrefix="1" applyNumberFormat="1" applyFont="1" applyFill="1" applyBorder="1" applyAlignment="1">
      <alignment horizontal="center" vertical="top"/>
    </xf>
    <xf numFmtId="0" fontId="13" fillId="4" borderId="16" xfId="0" quotePrefix="1" applyNumberFormat="1" applyFont="1" applyFill="1" applyBorder="1" applyAlignment="1">
      <alignment horizontal="center" vertical="top"/>
    </xf>
    <xf numFmtId="0" fontId="13" fillId="4" borderId="9" xfId="0" quotePrefix="1" applyNumberFormat="1" applyFont="1" applyFill="1" applyBorder="1" applyAlignment="1">
      <alignment horizontal="center" vertical="top"/>
    </xf>
    <xf numFmtId="0" fontId="11" fillId="4" borderId="9" xfId="0" quotePrefix="1" applyNumberFormat="1" applyFont="1" applyFill="1" applyBorder="1" applyAlignment="1">
      <alignment horizontal="center" vertical="top"/>
    </xf>
    <xf numFmtId="0" fontId="0" fillId="0" borderId="0" xfId="0" applyFill="1" applyAlignment="1">
      <alignment horizontal="center" vertical="top"/>
    </xf>
    <xf numFmtId="3" fontId="14" fillId="0" borderId="6" xfId="0" applyNumberFormat="1" applyFont="1" applyFill="1" applyBorder="1" applyAlignment="1">
      <alignment horizontal="left" vertical="top"/>
    </xf>
    <xf numFmtId="3" fontId="14" fillId="0" borderId="8" xfId="0" applyNumberFormat="1" applyFont="1" applyFill="1" applyBorder="1" applyAlignment="1">
      <alignment horizontal="left" vertical="top"/>
    </xf>
    <xf numFmtId="41" fontId="1" fillId="0" borderId="9" xfId="8" applyNumberFormat="1" applyFont="1" applyFill="1" applyBorder="1" applyAlignment="1">
      <alignment vertical="top"/>
    </xf>
    <xf numFmtId="165" fontId="8" fillId="2" borderId="9" xfId="0" quotePrefix="1" applyNumberFormat="1" applyFont="1" applyFill="1" applyBorder="1" applyAlignment="1">
      <alignment horizontal="right" vertical="top"/>
    </xf>
    <xf numFmtId="3" fontId="14" fillId="0" borderId="6" xfId="0" quotePrefix="1" applyNumberFormat="1" applyFont="1" applyFill="1" applyBorder="1" applyAlignment="1">
      <alignment horizontal="left" vertical="top"/>
    </xf>
    <xf numFmtId="3" fontId="13" fillId="0" borderId="6" xfId="0" quotePrefix="1" applyNumberFormat="1" applyFont="1" applyFill="1" applyBorder="1" applyAlignment="1">
      <alignment horizontal="left" vertical="top"/>
    </xf>
    <xf numFmtId="3" fontId="13" fillId="0" borderId="8" xfId="0" applyNumberFormat="1" applyFont="1" applyFill="1" applyBorder="1" applyAlignment="1">
      <alignment horizontal="left" vertical="top"/>
    </xf>
    <xf numFmtId="3" fontId="13" fillId="0" borderId="8" xfId="0" applyNumberFormat="1" applyFont="1" applyFill="1" applyBorder="1" applyAlignment="1">
      <alignment horizontal="left" vertical="top"/>
    </xf>
    <xf numFmtId="41" fontId="2" fillId="0" borderId="9" xfId="8" applyNumberFormat="1" applyFont="1" applyFill="1" applyBorder="1" applyAlignment="1">
      <alignment vertical="top"/>
    </xf>
    <xf numFmtId="165" fontId="11" fillId="2" borderId="9" xfId="0" quotePrefix="1" applyNumberFormat="1" applyFont="1" applyFill="1" applyBorder="1" applyAlignment="1">
      <alignment horizontal="right" vertical="top"/>
    </xf>
    <xf numFmtId="0" fontId="2" fillId="0" borderId="0" xfId="0" applyFont="1" applyFill="1" applyAlignment="1">
      <alignment vertical="top"/>
    </xf>
    <xf numFmtId="3" fontId="19" fillId="0" borderId="1" xfId="0" quotePrefix="1" applyNumberFormat="1" applyFont="1" applyFill="1" applyBorder="1" applyAlignment="1">
      <alignment horizontal="left" vertical="top"/>
    </xf>
    <xf numFmtId="3" fontId="19" fillId="0" borderId="14" xfId="0" quotePrefix="1" applyNumberFormat="1" applyFont="1" applyFill="1" applyBorder="1" applyAlignment="1">
      <alignment horizontal="left" vertical="top"/>
    </xf>
    <xf numFmtId="3" fontId="19" fillId="0" borderId="14" xfId="0" quotePrefix="1" applyNumberFormat="1" applyFont="1" applyFill="1" applyBorder="1" applyAlignment="1">
      <alignment horizontal="left" vertical="top"/>
    </xf>
    <xf numFmtId="3" fontId="19" fillId="0" borderId="5" xfId="0" applyNumberFormat="1" applyFont="1" applyFill="1" applyBorder="1" applyAlignment="1">
      <alignment horizontal="right" vertical="top"/>
    </xf>
    <xf numFmtId="3" fontId="19" fillId="2" borderId="5" xfId="0" applyNumberFormat="1" applyFont="1" applyFill="1" applyBorder="1" applyAlignment="1">
      <alignment horizontal="right" vertical="top"/>
    </xf>
    <xf numFmtId="0" fontId="56" fillId="0" borderId="0" xfId="0" applyFont="1" applyFill="1" applyBorder="1" applyAlignment="1">
      <alignment vertical="top"/>
    </xf>
    <xf numFmtId="3" fontId="19" fillId="0" borderId="3" xfId="0" quotePrefix="1" applyNumberFormat="1" applyFont="1" applyFill="1" applyBorder="1" applyAlignment="1">
      <alignment horizontal="left" vertical="top"/>
    </xf>
    <xf numFmtId="3" fontId="19" fillId="0" borderId="16" xfId="0" quotePrefix="1" applyNumberFormat="1" applyFont="1" applyFill="1" applyBorder="1" applyAlignment="1">
      <alignment horizontal="left" vertical="top"/>
    </xf>
    <xf numFmtId="3" fontId="19" fillId="0" borderId="16" xfId="0" quotePrefix="1" applyNumberFormat="1" applyFont="1" applyFill="1" applyBorder="1" applyAlignment="1">
      <alignment horizontal="left" vertical="top"/>
    </xf>
    <xf numFmtId="3" fontId="19" fillId="0" borderId="10" xfId="0" applyNumberFormat="1" applyFont="1" applyFill="1" applyBorder="1" applyAlignment="1">
      <alignment horizontal="right" vertical="top"/>
    </xf>
    <xf numFmtId="165" fontId="19" fillId="2" borderId="10" xfId="0" applyNumberFormat="1" applyFont="1" applyFill="1" applyBorder="1" applyAlignment="1">
      <alignment horizontal="right" vertical="top"/>
    </xf>
    <xf numFmtId="0" fontId="51" fillId="4" borderId="14" xfId="0" applyFont="1" applyFill="1" applyBorder="1" applyAlignment="1">
      <alignment horizontal="center" vertical="top"/>
    </xf>
    <xf numFmtId="0" fontId="51" fillId="4" borderId="9" xfId="0" quotePrefix="1" applyFont="1" applyFill="1" applyBorder="1" applyAlignment="1">
      <alignment horizontal="center" vertical="top"/>
    </xf>
    <xf numFmtId="0" fontId="51" fillId="4" borderId="9" xfId="0" applyFont="1" applyFill="1" applyBorder="1" applyAlignment="1">
      <alignment horizontal="center" vertical="top"/>
    </xf>
    <xf numFmtId="0" fontId="52" fillId="4" borderId="9" xfId="0" quotePrefix="1" applyFont="1" applyFill="1" applyBorder="1" applyAlignment="1">
      <alignment horizontal="center" vertical="top"/>
    </xf>
    <xf numFmtId="0" fontId="52" fillId="4" borderId="9" xfId="0" applyFont="1" applyFill="1" applyBorder="1" applyAlignment="1">
      <alignment horizontal="center" vertical="top"/>
    </xf>
    <xf numFmtId="0" fontId="13" fillId="4" borderId="9" xfId="0" applyNumberFormat="1" applyFont="1" applyFill="1" applyBorder="1" applyAlignment="1">
      <alignment horizontal="center" vertical="top"/>
    </xf>
    <xf numFmtId="0" fontId="13" fillId="4" borderId="9" xfId="0" applyFont="1" applyFill="1" applyBorder="1" applyAlignment="1">
      <alignment horizontal="center" vertical="top"/>
    </xf>
    <xf numFmtId="0" fontId="11" fillId="4" borderId="9" xfId="0" applyNumberFormat="1" applyFont="1" applyFill="1" applyBorder="1" applyAlignment="1">
      <alignment horizontal="center" vertical="top"/>
    </xf>
    <xf numFmtId="0" fontId="11" fillId="4" borderId="9" xfId="0" applyFont="1" applyFill="1" applyBorder="1" applyAlignment="1">
      <alignment horizontal="center" vertical="top"/>
    </xf>
    <xf numFmtId="168" fontId="56" fillId="0" borderId="5" xfId="0" applyNumberFormat="1" applyFont="1" applyFill="1" applyBorder="1" applyAlignment="1">
      <alignment vertical="top"/>
    </xf>
    <xf numFmtId="168" fontId="56" fillId="2" borderId="5" xfId="0" applyNumberFormat="1" applyFont="1" applyFill="1" applyBorder="1" applyAlignment="1">
      <alignment vertical="top"/>
    </xf>
    <xf numFmtId="0" fontId="54" fillId="4" borderId="6" xfId="10" quotePrefix="1" applyFill="1" applyBorder="1" applyAlignment="1">
      <alignment horizontal="center" vertical="top"/>
    </xf>
    <xf numFmtId="0" fontId="54" fillId="4" borderId="7" xfId="10" quotePrefix="1" applyFill="1" applyBorder="1" applyAlignment="1">
      <alignment horizontal="center" vertical="top"/>
    </xf>
    <xf numFmtId="0" fontId="54" fillId="4" borderId="8" xfId="10" quotePrefix="1" applyFill="1" applyBorder="1" applyAlignment="1">
      <alignment horizontal="center" vertical="top"/>
    </xf>
    <xf numFmtId="0" fontId="2" fillId="4" borderId="9" xfId="0" applyFont="1" applyFill="1" applyBorder="1" applyAlignment="1">
      <alignment horizontal="center" vertical="top"/>
    </xf>
    <xf numFmtId="0" fontId="57" fillId="4" borderId="9" xfId="0" applyFont="1" applyFill="1" applyBorder="1" applyAlignment="1">
      <alignment horizontal="center" vertical="top"/>
    </xf>
    <xf numFmtId="0" fontId="0" fillId="0" borderId="9" xfId="0" applyFill="1" applyBorder="1" applyAlignment="1">
      <alignment horizontal="center" vertical="top"/>
    </xf>
    <xf numFmtId="41" fontId="1" fillId="0" borderId="9" xfId="8" applyNumberFormat="1" applyFont="1" applyBorder="1" applyAlignment="1">
      <alignment vertical="top"/>
    </xf>
    <xf numFmtId="0" fontId="55" fillId="2" borderId="9" xfId="0" applyFont="1" applyFill="1" applyBorder="1" applyAlignment="1">
      <alignment horizontal="center" vertical="top"/>
    </xf>
    <xf numFmtId="175" fontId="55" fillId="2" borderId="9" xfId="8" applyNumberFormat="1" applyFont="1" applyFill="1" applyBorder="1" applyAlignment="1">
      <alignment vertical="top"/>
    </xf>
    <xf numFmtId="0" fontId="56" fillId="0" borderId="5" xfId="0" applyFont="1" applyFill="1" applyBorder="1" applyAlignment="1">
      <alignment horizontal="center" vertical="top"/>
    </xf>
    <xf numFmtId="0" fontId="56" fillId="2" borderId="5" xfId="0" applyFont="1" applyFill="1" applyBorder="1" applyAlignment="1">
      <alignment horizontal="center" vertical="top"/>
    </xf>
    <xf numFmtId="0" fontId="56" fillId="0" borderId="10" xfId="0" applyFont="1" applyFill="1" applyBorder="1" applyAlignment="1">
      <alignment horizontal="center" vertical="top"/>
    </xf>
    <xf numFmtId="0" fontId="56" fillId="2" borderId="10" xfId="0" applyFont="1" applyFill="1" applyBorder="1" applyAlignment="1">
      <alignment horizontal="center" vertical="top"/>
    </xf>
    <xf numFmtId="3" fontId="19" fillId="2" borderId="10" xfId="0" applyNumberFormat="1" applyFont="1" applyFill="1" applyBorder="1" applyAlignment="1">
      <alignment horizontal="right" vertical="top"/>
    </xf>
    <xf numFmtId="0" fontId="58" fillId="4" borderId="9" xfId="2" quotePrefix="1" applyFont="1" applyFill="1" applyBorder="1" applyAlignment="1">
      <alignment horizontal="center" vertical="top" wrapText="1"/>
    </xf>
    <xf numFmtId="0" fontId="58" fillId="4" borderId="6" xfId="2" quotePrefix="1" applyFont="1" applyFill="1" applyBorder="1" applyAlignment="1">
      <alignment horizontal="center" vertical="top" wrapText="1"/>
    </xf>
    <xf numFmtId="0" fontId="58" fillId="4" borderId="7" xfId="2" quotePrefix="1" applyFont="1" applyFill="1" applyBorder="1" applyAlignment="1">
      <alignment horizontal="center" vertical="top" wrapText="1"/>
    </xf>
    <xf numFmtId="0" fontId="58" fillId="4" borderId="8" xfId="2" quotePrefix="1" applyFont="1" applyFill="1" applyBorder="1" applyAlignment="1">
      <alignment horizontal="center" vertical="top" wrapText="1"/>
    </xf>
    <xf numFmtId="0" fontId="19" fillId="4" borderId="6" xfId="2" quotePrefix="1" applyFont="1" applyFill="1" applyBorder="1" applyAlignment="1">
      <alignment horizontal="center" vertical="top" wrapText="1"/>
    </xf>
    <xf numFmtId="0" fontId="19" fillId="4" borderId="7" xfId="2" quotePrefix="1" applyFont="1" applyFill="1" applyBorder="1" applyAlignment="1">
      <alignment horizontal="center" vertical="top" wrapText="1"/>
    </xf>
    <xf numFmtId="0" fontId="19" fillId="4" borderId="8" xfId="2" quotePrefix="1" applyFont="1" applyFill="1" applyBorder="1" applyAlignment="1">
      <alignment horizontal="center" vertical="top" wrapText="1"/>
    </xf>
    <xf numFmtId="168" fontId="55" fillId="2" borderId="9" xfId="8" applyNumberFormat="1" applyFont="1" applyFill="1" applyBorder="1" applyAlignment="1">
      <alignment vertical="top"/>
    </xf>
    <xf numFmtId="168" fontId="56" fillId="2" borderId="5" xfId="8" applyNumberFormat="1" applyFont="1" applyFill="1" applyBorder="1" applyAlignment="1">
      <alignment vertical="top"/>
    </xf>
    <xf numFmtId="175" fontId="56" fillId="2" borderId="5" xfId="8" applyNumberFormat="1" applyFont="1" applyFill="1" applyBorder="1" applyAlignment="1">
      <alignment vertical="top"/>
    </xf>
    <xf numFmtId="0" fontId="0" fillId="0" borderId="0" xfId="0" applyFill="1" applyBorder="1" applyAlignment="1">
      <alignment vertical="top"/>
    </xf>
    <xf numFmtId="168" fontId="56" fillId="2" borderId="10" xfId="8" applyNumberFormat="1" applyFont="1" applyFill="1" applyBorder="1" applyAlignment="1">
      <alignment vertical="top"/>
    </xf>
    <xf numFmtId="175" fontId="55" fillId="2" borderId="10" xfId="8" applyNumberFormat="1" applyFont="1" applyFill="1" applyBorder="1" applyAlignment="1">
      <alignment vertical="top"/>
    </xf>
    <xf numFmtId="3" fontId="19" fillId="0" borderId="0" xfId="0" quotePrefix="1" applyNumberFormat="1" applyFont="1" applyFill="1" applyBorder="1" applyAlignment="1">
      <alignment horizontal="left" vertical="top"/>
    </xf>
    <xf numFmtId="0" fontId="56" fillId="0" borderId="0" xfId="0" applyFont="1" applyFill="1" applyBorder="1" applyAlignment="1">
      <alignment horizontal="center" vertical="top"/>
    </xf>
    <xf numFmtId="168" fontId="56" fillId="0" borderId="0" xfId="8" applyNumberFormat="1" applyFont="1" applyFill="1" applyBorder="1" applyAlignment="1">
      <alignment vertical="top"/>
    </xf>
    <xf numFmtId="175" fontId="55" fillId="0" borderId="0" xfId="8" applyNumberFormat="1" applyFont="1" applyFill="1" applyBorder="1" applyAlignment="1">
      <alignment vertical="top"/>
    </xf>
    <xf numFmtId="0" fontId="56" fillId="0" borderId="0" xfId="0" applyFont="1" applyFill="1" applyAlignment="1">
      <alignment vertical="top"/>
    </xf>
    <xf numFmtId="0" fontId="33" fillId="0" borderId="9" xfId="0" applyFont="1" applyFill="1" applyBorder="1" applyAlignment="1">
      <alignment horizontal="center" vertical="top"/>
    </xf>
    <xf numFmtId="0" fontId="33" fillId="0" borderId="0" xfId="0" applyFont="1" applyFill="1" applyAlignment="1">
      <alignment vertical="top"/>
    </xf>
    <xf numFmtId="0" fontId="58" fillId="4" borderId="9" xfId="0" quotePrefix="1" applyFont="1" applyFill="1" applyBorder="1" applyAlignment="1">
      <alignment horizontal="center" vertical="top"/>
    </xf>
    <xf numFmtId="0" fontId="52" fillId="4" borderId="6" xfId="0" quotePrefix="1" applyFont="1" applyFill="1" applyBorder="1" applyAlignment="1">
      <alignment horizontal="center" vertical="top" wrapText="1"/>
    </xf>
    <xf numFmtId="0" fontId="52" fillId="4" borderId="7" xfId="0" quotePrefix="1" applyFont="1" applyFill="1" applyBorder="1" applyAlignment="1">
      <alignment horizontal="center" vertical="top" wrapText="1"/>
    </xf>
    <xf numFmtId="0" fontId="52" fillId="4" borderId="8" xfId="0" quotePrefix="1" applyFont="1" applyFill="1" applyBorder="1" applyAlignment="1">
      <alignment horizontal="center" vertical="top" wrapText="1"/>
    </xf>
    <xf numFmtId="0" fontId="2" fillId="4" borderId="15" xfId="0" applyFont="1" applyFill="1" applyBorder="1" applyAlignment="1">
      <alignment horizontal="center" vertical="top"/>
    </xf>
    <xf numFmtId="0" fontId="19" fillId="4" borderId="9" xfId="2" quotePrefix="1" applyFont="1" applyFill="1" applyBorder="1" applyAlignment="1">
      <alignment horizontal="center" vertical="top" wrapText="1"/>
    </xf>
    <xf numFmtId="0" fontId="57" fillId="4" borderId="9" xfId="0" applyFont="1" applyFill="1" applyBorder="1" applyAlignment="1">
      <alignment horizontal="center" vertical="top" wrapText="1"/>
    </xf>
    <xf numFmtId="3" fontId="14" fillId="2" borderId="8" xfId="0" applyNumberFormat="1" applyFont="1" applyFill="1" applyBorder="1" applyAlignment="1">
      <alignment horizontal="left" vertical="top"/>
    </xf>
    <xf numFmtId="0" fontId="55" fillId="2" borderId="9" xfId="0" applyFont="1" applyFill="1" applyBorder="1" applyAlignment="1">
      <alignment vertical="top"/>
    </xf>
    <xf numFmtId="167" fontId="55" fillId="2" borderId="9" xfId="0" applyNumberFormat="1" applyFont="1" applyFill="1" applyBorder="1" applyAlignment="1">
      <alignment vertical="top"/>
    </xf>
    <xf numFmtId="166" fontId="55" fillId="2" borderId="9" xfId="1" applyNumberFormat="1" applyFont="1" applyFill="1" applyBorder="1" applyAlignment="1">
      <alignment vertical="top"/>
    </xf>
    <xf numFmtId="3" fontId="19" fillId="2" borderId="14" xfId="0" quotePrefix="1" applyNumberFormat="1" applyFont="1" applyFill="1" applyBorder="1" applyAlignment="1">
      <alignment horizontal="left" vertical="top"/>
    </xf>
    <xf numFmtId="0" fontId="56" fillId="2" borderId="5" xfId="0" applyFont="1" applyFill="1" applyBorder="1" applyAlignment="1">
      <alignment vertical="top"/>
    </xf>
    <xf numFmtId="166" fontId="55" fillId="2" borderId="5" xfId="1" applyNumberFormat="1" applyFont="1" applyFill="1" applyBorder="1" applyAlignment="1">
      <alignment vertical="top"/>
    </xf>
    <xf numFmtId="3" fontId="19" fillId="2" borderId="16" xfId="0" quotePrefix="1" applyNumberFormat="1" applyFont="1" applyFill="1" applyBorder="1" applyAlignment="1">
      <alignment horizontal="left" vertical="top"/>
    </xf>
    <xf numFmtId="0" fontId="55" fillId="2" borderId="10" xfId="0" applyFont="1" applyFill="1" applyBorder="1" applyAlignment="1">
      <alignment vertical="top"/>
    </xf>
    <xf numFmtId="167" fontId="55" fillId="2" borderId="10" xfId="0" applyNumberFormat="1" applyFont="1" applyFill="1" applyBorder="1" applyAlignment="1">
      <alignment vertical="top"/>
    </xf>
    <xf numFmtId="166" fontId="55" fillId="2" borderId="10" xfId="1" applyNumberFormat="1" applyFont="1" applyFill="1" applyBorder="1" applyAlignment="1">
      <alignment vertical="top"/>
    </xf>
    <xf numFmtId="168" fontId="36" fillId="0" borderId="0" xfId="0" applyNumberFormat="1" applyFont="1" applyFill="1" applyAlignment="1">
      <alignment vertical="top"/>
    </xf>
    <xf numFmtId="168" fontId="36" fillId="0" borderId="0" xfId="8" applyNumberFormat="1" applyFont="1" applyFill="1" applyAlignment="1">
      <alignment vertical="top"/>
    </xf>
    <xf numFmtId="0" fontId="37" fillId="0" borderId="0" xfId="0" quotePrefix="1" applyFont="1" applyAlignment="1">
      <alignment horizontal="left"/>
    </xf>
    <xf numFmtId="0" fontId="4" fillId="0" borderId="0" xfId="0" quotePrefix="1" applyFont="1" applyAlignment="1">
      <alignment horizontal="left"/>
    </xf>
    <xf numFmtId="0" fontId="59" fillId="8" borderId="14" xfId="2" applyFont="1" applyFill="1" applyBorder="1" applyAlignment="1">
      <alignment horizontal="center" vertical="center"/>
    </xf>
    <xf numFmtId="0" fontId="59" fillId="8" borderId="16" xfId="2" applyFont="1" applyFill="1" applyBorder="1" applyAlignment="1">
      <alignment horizontal="center" vertical="center"/>
    </xf>
    <xf numFmtId="3" fontId="14" fillId="0" borderId="6" xfId="0" quotePrefix="1" applyNumberFormat="1" applyFont="1" applyFill="1" applyBorder="1" applyAlignment="1">
      <alignment vertical="top"/>
    </xf>
    <xf numFmtId="176" fontId="14" fillId="2" borderId="9" xfId="0" applyNumberFormat="1" applyFont="1" applyFill="1" applyBorder="1" applyAlignment="1">
      <alignment vertical="top"/>
    </xf>
    <xf numFmtId="176" fontId="7" fillId="2" borderId="9" xfId="4" applyNumberFormat="1" applyFont="1" applyFill="1" applyBorder="1" applyAlignment="1">
      <alignment vertical="top"/>
    </xf>
    <xf numFmtId="164" fontId="7" fillId="2" borderId="9" xfId="2" applyNumberFormat="1" applyFont="1" applyFill="1" applyBorder="1"/>
    <xf numFmtId="3" fontId="14" fillId="0" borderId="6" xfId="0" quotePrefix="1" applyNumberFormat="1" applyFont="1" applyFill="1" applyBorder="1" applyAlignment="1">
      <alignment horizontal="left" vertical="top"/>
    </xf>
    <xf numFmtId="176" fontId="13" fillId="2" borderId="9" xfId="0" applyNumberFormat="1" applyFont="1" applyFill="1" applyBorder="1" applyAlignment="1">
      <alignment vertical="top"/>
    </xf>
    <xf numFmtId="176" fontId="10" fillId="2" borderId="9" xfId="4" applyNumberFormat="1" applyFont="1" applyFill="1" applyBorder="1" applyAlignment="1">
      <alignment vertical="top"/>
    </xf>
    <xf numFmtId="164" fontId="10" fillId="2" borderId="9" xfId="2" applyNumberFormat="1" applyFont="1" applyFill="1" applyBorder="1"/>
    <xf numFmtId="164" fontId="18" fillId="0" borderId="0" xfId="2" applyNumberFormat="1" applyFont="1" applyAlignment="1">
      <alignment vertical="top"/>
    </xf>
    <xf numFmtId="164" fontId="18" fillId="0" borderId="0" xfId="8" applyNumberFormat="1" applyFont="1" applyAlignment="1">
      <alignment vertical="top"/>
    </xf>
    <xf numFmtId="176" fontId="18" fillId="0" borderId="0" xfId="2" applyNumberFormat="1" applyFont="1" applyAlignment="1">
      <alignment vertical="top"/>
    </xf>
    <xf numFmtId="0" fontId="22" fillId="4" borderId="6" xfId="2" quotePrefix="1" applyFont="1" applyFill="1" applyBorder="1" applyAlignment="1">
      <alignment horizontal="center" vertical="top" wrapText="1"/>
    </xf>
    <xf numFmtId="0" fontId="22" fillId="4" borderId="8" xfId="2" quotePrefix="1" applyFont="1" applyFill="1" applyBorder="1" applyAlignment="1">
      <alignment horizontal="center" vertical="top" wrapText="1"/>
    </xf>
    <xf numFmtId="0" fontId="60" fillId="4" borderId="9" xfId="2" quotePrefix="1" applyFont="1" applyFill="1" applyBorder="1" applyAlignment="1">
      <alignment horizontal="center" vertical="top" wrapText="1"/>
    </xf>
    <xf numFmtId="166" fontId="60" fillId="4" borderId="9" xfId="2" quotePrefix="1" applyNumberFormat="1" applyFont="1" applyFill="1" applyBorder="1" applyAlignment="1">
      <alignment horizontal="center" vertical="top" wrapText="1"/>
    </xf>
    <xf numFmtId="10" fontId="23" fillId="2" borderId="9" xfId="4" applyNumberFormat="1" applyFont="1" applyFill="1" applyBorder="1"/>
    <xf numFmtId="0" fontId="0" fillId="0" borderId="0" xfId="0" applyBorder="1"/>
    <xf numFmtId="0" fontId="14" fillId="0" borderId="4" xfId="0" quotePrefix="1" applyFont="1" applyFill="1" applyBorder="1" applyAlignment="1">
      <alignment horizontal="center" vertical="top" wrapText="1"/>
    </xf>
    <xf numFmtId="10" fontId="23" fillId="0" borderId="4" xfId="4" applyNumberFormat="1" applyFont="1" applyFill="1" applyBorder="1"/>
    <xf numFmtId="0" fontId="59" fillId="0" borderId="0" xfId="2" applyFont="1" applyFill="1" applyBorder="1" applyAlignment="1">
      <alignment vertical="center"/>
    </xf>
    <xf numFmtId="0" fontId="59" fillId="8" borderId="9" xfId="2" applyFont="1" applyFill="1" applyBorder="1" applyAlignment="1">
      <alignment horizontal="center" vertical="center"/>
    </xf>
    <xf numFmtId="166" fontId="14" fillId="2" borderId="9" xfId="4" applyNumberFormat="1" applyFont="1" applyFill="1" applyBorder="1"/>
    <xf numFmtId="10" fontId="4" fillId="2" borderId="9" xfId="4" applyNumberFormat="1" applyFont="1" applyFill="1" applyBorder="1"/>
    <xf numFmtId="0" fontId="13" fillId="0" borderId="9" xfId="2" quotePrefix="1" applyFont="1" applyFill="1" applyBorder="1" applyAlignment="1">
      <alignment horizontal="left" vertical="top"/>
    </xf>
    <xf numFmtId="166" fontId="13" fillId="2" borderId="9" xfId="4" applyNumberFormat="1" applyFont="1" applyFill="1" applyBorder="1"/>
    <xf numFmtId="0" fontId="2" fillId="0" borderId="0" xfId="0" applyFont="1"/>
    <xf numFmtId="0" fontId="59" fillId="8" borderId="9" xfId="0" quotePrefix="1" applyFont="1" applyFill="1" applyBorder="1" applyAlignment="1">
      <alignment horizontal="center" vertical="top" wrapText="1"/>
    </xf>
    <xf numFmtId="166" fontId="13" fillId="0" borderId="9" xfId="4" applyNumberFormat="1" applyFont="1" applyBorder="1"/>
    <xf numFmtId="0" fontId="0" fillId="0" borderId="0" xfId="0" applyAlignment="1">
      <alignment horizontal="center"/>
    </xf>
    <xf numFmtId="4" fontId="7" fillId="2" borderId="9" xfId="0" applyNumberFormat="1" applyFont="1" applyFill="1" applyBorder="1" applyAlignment="1">
      <alignment horizontal="right" vertical="top"/>
    </xf>
    <xf numFmtId="165" fontId="7" fillId="2" borderId="9" xfId="0" applyNumberFormat="1" applyFont="1" applyFill="1" applyBorder="1" applyAlignment="1">
      <alignment horizontal="right" vertical="top"/>
    </xf>
    <xf numFmtId="2" fontId="0" fillId="0" borderId="0" xfId="0" applyNumberFormat="1"/>
    <xf numFmtId="0" fontId="32" fillId="0" borderId="0" xfId="0" applyFont="1" applyFill="1"/>
    <xf numFmtId="0" fontId="2" fillId="0" borderId="0" xfId="0" applyFont="1" applyFill="1"/>
    <xf numFmtId="0" fontId="33" fillId="0" borderId="0" xfId="0" applyFont="1"/>
    <xf numFmtId="0" fontId="34" fillId="0" borderId="0" xfId="0" applyFont="1"/>
    <xf numFmtId="0" fontId="37" fillId="0" borderId="0" xfId="0" applyFont="1"/>
    <xf numFmtId="0" fontId="46" fillId="8" borderId="9" xfId="0" applyFont="1" applyFill="1" applyBorder="1" applyAlignment="1">
      <alignment horizontal="center"/>
    </xf>
    <xf numFmtId="0" fontId="2" fillId="18" borderId="9" xfId="0" applyFont="1" applyFill="1" applyBorder="1" applyAlignment="1">
      <alignment horizontal="center"/>
    </xf>
    <xf numFmtId="0" fontId="2" fillId="4" borderId="9" xfId="0" applyFont="1" applyFill="1" applyBorder="1" applyAlignment="1">
      <alignment horizontal="center"/>
    </xf>
    <xf numFmtId="0" fontId="2" fillId="0" borderId="0" xfId="0" applyFont="1" applyAlignment="1">
      <alignment horizontal="center"/>
    </xf>
    <xf numFmtId="0" fontId="0" fillId="0" borderId="6" xfId="0" quotePrefix="1" applyBorder="1" applyAlignment="1">
      <alignment horizontal="left" wrapText="1"/>
    </xf>
    <xf numFmtId="0" fontId="0" fillId="0" borderId="9" xfId="0" applyBorder="1"/>
    <xf numFmtId="0" fontId="0" fillId="0" borderId="6" xfId="0" quotePrefix="1" applyBorder="1" applyAlignment="1">
      <alignment horizontal="left"/>
    </xf>
  </cellXfs>
  <cellStyles count="11">
    <cellStyle name="Comma" xfId="8" builtinId="3"/>
    <cellStyle name="Comma 2" xfId="3"/>
    <cellStyle name="Comma 3" xfId="7"/>
    <cellStyle name="Hyperlink" xfId="6" builtinId="8"/>
    <cellStyle name="Hyperlink 2" xfId="10"/>
    <cellStyle name="Normal" xfId="0" builtinId="0"/>
    <cellStyle name="Normal 2" xfId="2"/>
    <cellStyle name="Normal 3" xfId="5"/>
    <cellStyle name="Normal_ALL_FOOTNOTES" xfId="9"/>
    <cellStyle name="Percent" xfId="1" builtinId="5"/>
    <cellStyle name="Percent 2" xfId="4"/>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employment1'!$B$6</c:f>
              <c:numCache>
                <c:formatCode>0.0</c:formatCode>
                <c:ptCount val="1"/>
                <c:pt idx="0">
                  <c:v>-2.8384355124553053</c:v>
                </c:pt>
              </c:numCache>
            </c:numRef>
          </c:xVal>
          <c:yVal>
            <c:numRef>
              <c:f>'Rel. prod. cf employment1'!$C$6</c:f>
              <c:numCache>
                <c:formatCode>0.0</c:formatCode>
                <c:ptCount val="1"/>
                <c:pt idx="0">
                  <c:v>0.17236423833133088</c:v>
                </c:pt>
              </c:numCache>
            </c:numRef>
          </c:yVal>
          <c:bubbleSize>
            <c:numRef>
              <c:f>'Rel. prod. cf employment1'!$E$6</c:f>
              <c:numCache>
                <c:formatCode>#,##0</c:formatCode>
                <c:ptCount val="1"/>
                <c:pt idx="0">
                  <c:v>2495.3574907631169</c:v>
                </c:pt>
              </c:numCache>
            </c:numRef>
          </c:bubbleSize>
          <c:bubble3D val="1"/>
        </c:ser>
        <c:ser>
          <c:idx val="1"/>
          <c:order val="1"/>
          <c:tx>
            <c:v>Mining</c:v>
          </c:tx>
          <c:spPr>
            <a:solidFill>
              <a:srgbClr val="FF0000"/>
            </a:solidFill>
            <a:ln w="25400">
              <a:noFill/>
            </a:ln>
          </c:spPr>
          <c:invertIfNegative val="0"/>
          <c:xVal>
            <c:numRef>
              <c:f>'Rel. prod. cf employment1'!$B$7</c:f>
              <c:numCache>
                <c:formatCode>0.0</c:formatCode>
                <c:ptCount val="1"/>
                <c:pt idx="0">
                  <c:v>-5.2709122538620861</c:v>
                </c:pt>
              </c:numCache>
            </c:numRef>
          </c:xVal>
          <c:yVal>
            <c:numRef>
              <c:f>'Rel. prod. cf employment1'!$C$7</c:f>
              <c:numCache>
                <c:formatCode>0.0</c:formatCode>
                <c:ptCount val="1"/>
                <c:pt idx="0">
                  <c:v>2.632884928042587</c:v>
                </c:pt>
              </c:numCache>
            </c:numRef>
          </c:yVal>
          <c:bubbleSize>
            <c:numRef>
              <c:f>'Rel. prod. cf employment1'!$E$7</c:f>
              <c:numCache>
                <c:formatCode>#,##0</c:formatCode>
                <c:ptCount val="1"/>
                <c:pt idx="0">
                  <c:v>465.82828282828285</c:v>
                </c:pt>
              </c:numCache>
            </c:numRef>
          </c:bubbleSize>
          <c:bubble3D val="1"/>
        </c:ser>
        <c:ser>
          <c:idx val="2"/>
          <c:order val="2"/>
          <c:tx>
            <c:v>Manufacturing</c:v>
          </c:tx>
          <c:spPr>
            <a:solidFill>
              <a:srgbClr val="00B050"/>
            </a:solidFill>
            <a:ln w="25400">
              <a:noFill/>
            </a:ln>
          </c:spPr>
          <c:invertIfNegative val="0"/>
          <c:xVal>
            <c:numRef>
              <c:f>'Rel. prod. cf employment1'!$B$8</c:f>
              <c:numCache>
                <c:formatCode>0.0</c:formatCode>
                <c:ptCount val="1"/>
                <c:pt idx="0">
                  <c:v>-1.0677487017241507</c:v>
                </c:pt>
              </c:numCache>
            </c:numRef>
          </c:xVal>
          <c:yVal>
            <c:numRef>
              <c:f>'Rel. prod. cf employment1'!$C$8</c:f>
              <c:numCache>
                <c:formatCode>0.0</c:formatCode>
                <c:ptCount val="1"/>
                <c:pt idx="0">
                  <c:v>1.5124931230137668</c:v>
                </c:pt>
              </c:numCache>
            </c:numRef>
          </c:yVal>
          <c:bubbleSize>
            <c:numRef>
              <c:f>'Rel. prod. cf employment1'!$E$8</c:f>
              <c:numCache>
                <c:formatCode>#,##0</c:formatCode>
                <c:ptCount val="1"/>
                <c:pt idx="0">
                  <c:v>1821.5796847635729</c:v>
                </c:pt>
              </c:numCache>
            </c:numRef>
          </c:bubbleSize>
          <c:bubble3D val="1"/>
        </c:ser>
        <c:ser>
          <c:idx val="3"/>
          <c:order val="3"/>
          <c:tx>
            <c:v>Utilities</c:v>
          </c:tx>
          <c:spPr>
            <a:solidFill>
              <a:srgbClr val="FFFF00"/>
            </a:solidFill>
            <a:ln w="25400">
              <a:noFill/>
            </a:ln>
          </c:spPr>
          <c:invertIfNegative val="0"/>
          <c:xVal>
            <c:numRef>
              <c:f>'Rel. prod. cf employment1'!$B$9</c:f>
              <c:numCache>
                <c:formatCode>0.0</c:formatCode>
                <c:ptCount val="1"/>
                <c:pt idx="0">
                  <c:v>-0.46883919516301431</c:v>
                </c:pt>
              </c:numCache>
            </c:numRef>
          </c:xVal>
          <c:yVal>
            <c:numRef>
              <c:f>'Rel. prod. cf employment1'!$C$9</c:f>
              <c:numCache>
                <c:formatCode>0.0</c:formatCode>
                <c:ptCount val="1"/>
                <c:pt idx="0">
                  <c:v>4.8261558308055452</c:v>
                </c:pt>
              </c:numCache>
            </c:numRef>
          </c:yVal>
          <c:bubbleSize>
            <c:numRef>
              <c:f>'Rel. prod. cf employment1'!$E$9</c:f>
              <c:numCache>
                <c:formatCode>#,##0</c:formatCode>
                <c:ptCount val="1"/>
                <c:pt idx="0">
                  <c:v>73.289156626506028</c:v>
                </c:pt>
              </c:numCache>
            </c:numRef>
          </c:bubbleSize>
          <c:bubble3D val="1"/>
        </c:ser>
        <c:ser>
          <c:idx val="4"/>
          <c:order val="4"/>
          <c:tx>
            <c:v>Construction</c:v>
          </c:tx>
          <c:spPr>
            <a:solidFill>
              <a:srgbClr val="6600FF"/>
            </a:solidFill>
            <a:ln w="25400">
              <a:noFill/>
            </a:ln>
          </c:spPr>
          <c:invertIfNegative val="0"/>
          <c:xVal>
            <c:numRef>
              <c:f>'Rel. prod. cf employment1'!$B$10</c:f>
              <c:numCache>
                <c:formatCode>0.0</c:formatCode>
                <c:ptCount val="1"/>
                <c:pt idx="0">
                  <c:v>-0.63117605141288635</c:v>
                </c:pt>
              </c:numCache>
            </c:numRef>
          </c:xVal>
          <c:yVal>
            <c:numRef>
              <c:f>'Rel. prod. cf employment1'!$C$10</c:f>
              <c:numCache>
                <c:formatCode>0.0</c:formatCode>
                <c:ptCount val="1"/>
                <c:pt idx="0">
                  <c:v>0.48619680038528096</c:v>
                </c:pt>
              </c:numCache>
            </c:numRef>
          </c:yVal>
          <c:bubbleSize>
            <c:numRef>
              <c:f>'Rel. prod. cf employment1'!$E$10</c:f>
              <c:numCache>
                <c:formatCode>#,##0</c:formatCode>
                <c:ptCount val="1"/>
                <c:pt idx="0">
                  <c:v>672.11560693641627</c:v>
                </c:pt>
              </c:numCache>
            </c:numRef>
          </c:bubbleSize>
          <c:bubble3D val="1"/>
        </c:ser>
        <c:ser>
          <c:idx val="5"/>
          <c:order val="5"/>
          <c:tx>
            <c:v>Trade services</c:v>
          </c:tx>
          <c:spPr>
            <a:solidFill>
              <a:srgbClr val="66FFFF"/>
            </a:solidFill>
            <a:ln w="25400">
              <a:noFill/>
            </a:ln>
          </c:spPr>
          <c:invertIfNegative val="0"/>
          <c:xVal>
            <c:numRef>
              <c:f>'Rel. prod. cf employment1'!$B$11</c:f>
              <c:numCache>
                <c:formatCode>0.0</c:formatCode>
                <c:ptCount val="1"/>
                <c:pt idx="0">
                  <c:v>3.1319913939712301</c:v>
                </c:pt>
              </c:numCache>
            </c:numRef>
          </c:xVal>
          <c:yVal>
            <c:numRef>
              <c:f>'Rel. prod. cf employment1'!$C$11</c:f>
              <c:numCache>
                <c:formatCode>0.0</c:formatCode>
                <c:ptCount val="1"/>
                <c:pt idx="0">
                  <c:v>0.72095267975985533</c:v>
                </c:pt>
              </c:numCache>
            </c:numRef>
          </c:yVal>
          <c:bubbleSize>
            <c:numRef>
              <c:f>'Rel. prod. cf employment1'!$E$11</c:f>
              <c:numCache>
                <c:formatCode>#,##0</c:formatCode>
                <c:ptCount val="1"/>
                <c:pt idx="0">
                  <c:v>2772.6556907659265</c:v>
                </c:pt>
              </c:numCache>
            </c:numRef>
          </c:bubbleSize>
          <c:bubble3D val="1"/>
        </c:ser>
        <c:ser>
          <c:idx val="6"/>
          <c:order val="6"/>
          <c:tx>
            <c:v>Transport services</c:v>
          </c:tx>
          <c:spPr>
            <a:solidFill>
              <a:srgbClr val="FF00FF"/>
            </a:solidFill>
            <a:ln w="25400">
              <a:noFill/>
            </a:ln>
          </c:spPr>
          <c:invertIfNegative val="0"/>
          <c:xVal>
            <c:numRef>
              <c:f>'Rel. prod. cf employment1'!$B$12</c:f>
              <c:numCache>
                <c:formatCode>0.0</c:formatCode>
                <c:ptCount val="1"/>
                <c:pt idx="0">
                  <c:v>0.30203997999501109</c:v>
                </c:pt>
              </c:numCache>
            </c:numRef>
          </c:xVal>
          <c:yVal>
            <c:numRef>
              <c:f>'Rel. prod. cf employment1'!$C$12</c:f>
              <c:numCache>
                <c:formatCode>0.0</c:formatCode>
                <c:ptCount val="1"/>
                <c:pt idx="0">
                  <c:v>1.780819423487308</c:v>
                </c:pt>
              </c:numCache>
            </c:numRef>
          </c:yVal>
          <c:bubbleSize>
            <c:numRef>
              <c:f>'Rel. prod. cf employment1'!$E$12</c:f>
              <c:numCache>
                <c:formatCode>#,##0</c:formatCode>
                <c:ptCount val="1"/>
                <c:pt idx="0">
                  <c:v>714.49681528662427</c:v>
                </c:pt>
              </c:numCache>
            </c:numRef>
          </c:bubbleSize>
          <c:bubble3D val="1"/>
        </c:ser>
        <c:ser>
          <c:idx val="7"/>
          <c:order val="7"/>
          <c:tx>
            <c:v>Business services</c:v>
          </c:tx>
          <c:spPr>
            <a:solidFill>
              <a:srgbClr val="99FF66"/>
            </a:solidFill>
            <a:ln w="25400">
              <a:noFill/>
            </a:ln>
          </c:spPr>
          <c:invertIfNegative val="0"/>
          <c:xVal>
            <c:numRef>
              <c:f>'Rel. prod. cf employment1'!$B$13</c:f>
              <c:numCache>
                <c:formatCode>0.0</c:formatCode>
                <c:ptCount val="1"/>
                <c:pt idx="0">
                  <c:v>2.7026702703841092</c:v>
                </c:pt>
              </c:numCache>
            </c:numRef>
          </c:xVal>
          <c:yVal>
            <c:numRef>
              <c:f>'Rel. prod. cf employment1'!$C$13</c:f>
              <c:numCache>
                <c:formatCode>0.0</c:formatCode>
                <c:ptCount val="1"/>
                <c:pt idx="0">
                  <c:v>1.7122226306875579</c:v>
                </c:pt>
              </c:numCache>
            </c:numRef>
          </c:yVal>
          <c:bubbleSize>
            <c:numRef>
              <c:f>'Rel. prod. cf employment1'!$E$13</c:f>
              <c:numCache>
                <c:formatCode>#,##0</c:formatCode>
                <c:ptCount val="1"/>
                <c:pt idx="0">
                  <c:v>1012.3693998309386</c:v>
                </c:pt>
              </c:numCache>
            </c:numRef>
          </c:bubbleSize>
          <c:bubble3D val="1"/>
        </c:ser>
        <c:ser>
          <c:idx val="8"/>
          <c:order val="8"/>
          <c:tx>
            <c:v>Govt services</c:v>
          </c:tx>
          <c:spPr>
            <a:solidFill>
              <a:srgbClr val="984807"/>
            </a:solidFill>
            <a:ln w="25400">
              <a:noFill/>
            </a:ln>
          </c:spPr>
          <c:invertIfNegative val="0"/>
          <c:xVal>
            <c:numRef>
              <c:f>'Rel. prod. cf employment1'!$B$14</c:f>
              <c:numCache>
                <c:formatCode>0.0</c:formatCode>
                <c:ptCount val="1"/>
                <c:pt idx="0">
                  <c:v>3.9502210427386562</c:v>
                </c:pt>
              </c:numCache>
            </c:numRef>
          </c:xVal>
          <c:yVal>
            <c:numRef>
              <c:f>'Rel. prod. cf employment1'!$C$14</c:f>
              <c:numCache>
                <c:formatCode>0.0</c:formatCode>
                <c:ptCount val="1"/>
                <c:pt idx="0">
                  <c:v>1.2116350352940328</c:v>
                </c:pt>
              </c:numCache>
            </c:numRef>
          </c:yVal>
          <c:bubbleSize>
            <c:numRef>
              <c:f>'Rel. prod. cf employment1'!$E$14</c:f>
              <c:numCache>
                <c:formatCode>#,##0</c:formatCode>
                <c:ptCount val="1"/>
                <c:pt idx="0">
                  <c:v>1953.9867849653815</c:v>
                </c:pt>
              </c:numCache>
            </c:numRef>
          </c:bubbleSize>
          <c:bubble3D val="1"/>
        </c:ser>
        <c:ser>
          <c:idx val="9"/>
          <c:order val="9"/>
          <c:tx>
            <c:v>Personal services</c:v>
          </c:tx>
          <c:spPr>
            <a:solidFill>
              <a:srgbClr val="9999FF"/>
            </a:solidFill>
            <a:ln w="25400">
              <a:noFill/>
            </a:ln>
          </c:spPr>
          <c:invertIfNegative val="0"/>
          <c:xVal>
            <c:numRef>
              <c:f>'Rel. prod. cf employment1'!$B$15</c:f>
              <c:numCache>
                <c:formatCode>0.0</c:formatCode>
                <c:ptCount val="1"/>
                <c:pt idx="0">
                  <c:v>0.19018902752840106</c:v>
                </c:pt>
              </c:numCache>
            </c:numRef>
          </c:xVal>
          <c:yVal>
            <c:numRef>
              <c:f>'Rel. prod. cf employment1'!$C$15</c:f>
              <c:numCache>
                <c:formatCode>0.0</c:formatCode>
                <c:ptCount val="1"/>
                <c:pt idx="0">
                  <c:v>0.65265955628992112</c:v>
                </c:pt>
              </c:numCache>
            </c:numRef>
          </c:yVal>
          <c:bubbleSize>
            <c:numRef>
              <c:f>'Rel. prod. cf employment1'!$E$15</c:f>
              <c:numCache>
                <c:formatCode>#,##0</c:formatCode>
                <c:ptCount val="1"/>
                <c:pt idx="0">
                  <c:v>1389.9327006370786</c:v>
                </c:pt>
              </c:numCache>
            </c:numRef>
          </c:bubbleSize>
          <c:bubble3D val="1"/>
        </c:ser>
        <c:dLbls>
          <c:showLegendKey val="0"/>
          <c:showVal val="0"/>
          <c:showCatName val="0"/>
          <c:showSerName val="0"/>
          <c:showPercent val="0"/>
          <c:showBubbleSize val="0"/>
        </c:dLbls>
        <c:bubbleScale val="100"/>
        <c:showNegBubbles val="0"/>
        <c:axId val="543140480"/>
        <c:axId val="543152384"/>
      </c:bubbleChart>
      <c:valAx>
        <c:axId val="543140480"/>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543152384"/>
        <c:crosses val="autoZero"/>
        <c:crossBetween val="midCat"/>
      </c:valAx>
      <c:valAx>
        <c:axId val="543152384"/>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54314048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emp1'!$C$9:$H$9</c:f>
              <c:numCache>
                <c:formatCode>0%</c:formatCode>
                <c:ptCount val="6"/>
                <c:pt idx="0">
                  <c:v>0.96296058681379793</c:v>
                </c:pt>
                <c:pt idx="1">
                  <c:v>0.94325004758284414</c:v>
                </c:pt>
                <c:pt idx="2">
                  <c:v>0.90037491361638478</c:v>
                </c:pt>
                <c:pt idx="3">
                  <c:v>0.84810126582278478</c:v>
                </c:pt>
                <c:pt idx="4">
                  <c:v>0.81720430107526887</c:v>
                </c:pt>
                <c:pt idx="5">
                  <c:v>0.76666666666666672</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emp1'!$J$9:$O$9</c:f>
              <c:numCache>
                <c:formatCode>0%</c:formatCode>
                <c:ptCount val="6"/>
                <c:pt idx="0">
                  <c:v>3.703941318620213E-2</c:v>
                </c:pt>
                <c:pt idx="1">
                  <c:v>5.6749952417155844E-2</c:v>
                </c:pt>
                <c:pt idx="2">
                  <c:v>9.9625086383615252E-2</c:v>
                </c:pt>
                <c:pt idx="3">
                  <c:v>0.15189873417721522</c:v>
                </c:pt>
                <c:pt idx="4">
                  <c:v>0.18279569892473119</c:v>
                </c:pt>
                <c:pt idx="5">
                  <c:v>0.23333333333333334</c:v>
                </c:pt>
              </c:numCache>
            </c:numRef>
          </c:val>
        </c:ser>
        <c:dLbls>
          <c:showLegendKey val="0"/>
          <c:showVal val="0"/>
          <c:showCatName val="0"/>
          <c:showSerName val="0"/>
          <c:showPercent val="0"/>
          <c:showBubbleSize val="0"/>
        </c:dLbls>
        <c:gapWidth val="150"/>
        <c:axId val="647344512"/>
        <c:axId val="647346048"/>
      </c:barChart>
      <c:catAx>
        <c:axId val="647344512"/>
        <c:scaling>
          <c:orientation val="minMax"/>
        </c:scaling>
        <c:delete val="0"/>
        <c:axPos val="b"/>
        <c:numFmt formatCode="General" sourceLinked="1"/>
        <c:majorTickMark val="out"/>
        <c:minorTickMark val="none"/>
        <c:tickLblPos val="nextTo"/>
        <c:crossAx val="647346048"/>
        <c:crosses val="autoZero"/>
        <c:auto val="1"/>
        <c:lblAlgn val="ctr"/>
        <c:lblOffset val="100"/>
        <c:noMultiLvlLbl val="0"/>
      </c:catAx>
      <c:valAx>
        <c:axId val="647346048"/>
        <c:scaling>
          <c:orientation val="minMax"/>
          <c:max val="1"/>
        </c:scaling>
        <c:delete val="0"/>
        <c:axPos val="l"/>
        <c:majorGridlines/>
        <c:numFmt formatCode="0%" sourceLinked="1"/>
        <c:majorTickMark val="out"/>
        <c:minorTickMark val="none"/>
        <c:tickLblPos val="nextTo"/>
        <c:crossAx val="64734451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emp1'!$C$14:$H$14</c:f>
              <c:numCache>
                <c:formatCode>0%</c:formatCode>
                <c:ptCount val="6"/>
                <c:pt idx="0">
                  <c:v>0.62323038117580654</c:v>
                </c:pt>
                <c:pt idx="1">
                  <c:v>0.62312856645872716</c:v>
                </c:pt>
                <c:pt idx="2">
                  <c:v>0.41806720249786766</c:v>
                </c:pt>
                <c:pt idx="3">
                  <c:v>0.28746767834105108</c:v>
                </c:pt>
                <c:pt idx="4">
                  <c:v>0.32620151526154506</c:v>
                </c:pt>
                <c:pt idx="5">
                  <c:v>0.31849497684863237</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emp1'!$J$14:$O$14</c:f>
              <c:numCache>
                <c:formatCode>0%</c:formatCode>
                <c:ptCount val="6"/>
                <c:pt idx="0">
                  <c:v>0.37676961882419352</c:v>
                </c:pt>
                <c:pt idx="1">
                  <c:v>0.37687143354127289</c:v>
                </c:pt>
                <c:pt idx="2">
                  <c:v>0.58193279750213223</c:v>
                </c:pt>
                <c:pt idx="3">
                  <c:v>0.71253232165894886</c:v>
                </c:pt>
                <c:pt idx="4">
                  <c:v>0.67379848473845494</c:v>
                </c:pt>
                <c:pt idx="5">
                  <c:v>0.68150502315136763</c:v>
                </c:pt>
              </c:numCache>
            </c:numRef>
          </c:val>
        </c:ser>
        <c:dLbls>
          <c:showLegendKey val="0"/>
          <c:showVal val="0"/>
          <c:showCatName val="0"/>
          <c:showSerName val="0"/>
          <c:showPercent val="0"/>
          <c:showBubbleSize val="0"/>
        </c:dLbls>
        <c:gapWidth val="150"/>
        <c:axId val="648507776"/>
        <c:axId val="648509312"/>
      </c:barChart>
      <c:catAx>
        <c:axId val="648507776"/>
        <c:scaling>
          <c:orientation val="minMax"/>
        </c:scaling>
        <c:delete val="0"/>
        <c:axPos val="b"/>
        <c:numFmt formatCode="General" sourceLinked="1"/>
        <c:majorTickMark val="out"/>
        <c:minorTickMark val="none"/>
        <c:tickLblPos val="nextTo"/>
        <c:txPr>
          <a:bodyPr/>
          <a:lstStyle/>
          <a:p>
            <a:pPr>
              <a:defRPr sz="700"/>
            </a:pPr>
            <a:endParaRPr lang="en-US"/>
          </a:p>
        </c:txPr>
        <c:crossAx val="648509312"/>
        <c:crosses val="autoZero"/>
        <c:auto val="1"/>
        <c:lblAlgn val="ctr"/>
        <c:lblOffset val="100"/>
        <c:noMultiLvlLbl val="0"/>
      </c:catAx>
      <c:valAx>
        <c:axId val="64850931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648507776"/>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emp1'!$C$15:$H$15</c:f>
              <c:numCache>
                <c:formatCode>0%</c:formatCode>
                <c:ptCount val="6"/>
                <c:pt idx="0">
                  <c:v>0.22494290073961765</c:v>
                </c:pt>
                <c:pt idx="1">
                  <c:v>0.23822305463259894</c:v>
                </c:pt>
                <c:pt idx="2">
                  <c:v>0.32331833629206014</c:v>
                </c:pt>
                <c:pt idx="3">
                  <c:v>0.38625456956609971</c:v>
                </c:pt>
                <c:pt idx="4">
                  <c:v>0.43829910408110362</c:v>
                </c:pt>
                <c:pt idx="5">
                  <c:v>0.42794425064261482</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emp1'!$J$15:$O$15</c:f>
              <c:numCache>
                <c:formatCode>0%</c:formatCode>
                <c:ptCount val="6"/>
                <c:pt idx="0">
                  <c:v>0.77505709926038235</c:v>
                </c:pt>
                <c:pt idx="1">
                  <c:v>0.76177694536740115</c:v>
                </c:pt>
                <c:pt idx="2">
                  <c:v>0.67668166370793992</c:v>
                </c:pt>
                <c:pt idx="3">
                  <c:v>0.61374543043390029</c:v>
                </c:pt>
                <c:pt idx="4">
                  <c:v>0.56170089591889638</c:v>
                </c:pt>
                <c:pt idx="5">
                  <c:v>0.57205574935738512</c:v>
                </c:pt>
              </c:numCache>
            </c:numRef>
          </c:val>
        </c:ser>
        <c:dLbls>
          <c:showLegendKey val="0"/>
          <c:showVal val="0"/>
          <c:showCatName val="0"/>
          <c:showSerName val="0"/>
          <c:showPercent val="0"/>
          <c:showBubbleSize val="0"/>
        </c:dLbls>
        <c:gapWidth val="150"/>
        <c:axId val="650006912"/>
        <c:axId val="650334592"/>
      </c:barChart>
      <c:catAx>
        <c:axId val="650006912"/>
        <c:scaling>
          <c:orientation val="minMax"/>
        </c:scaling>
        <c:delete val="0"/>
        <c:axPos val="b"/>
        <c:numFmt formatCode="General" sourceLinked="1"/>
        <c:majorTickMark val="out"/>
        <c:minorTickMark val="none"/>
        <c:tickLblPos val="nextTo"/>
        <c:txPr>
          <a:bodyPr/>
          <a:lstStyle/>
          <a:p>
            <a:pPr>
              <a:defRPr sz="700"/>
            </a:pPr>
            <a:endParaRPr lang="en-US"/>
          </a:p>
        </c:txPr>
        <c:crossAx val="650334592"/>
        <c:crosses val="autoZero"/>
        <c:auto val="1"/>
        <c:lblAlgn val="ctr"/>
        <c:lblOffset val="100"/>
        <c:noMultiLvlLbl val="0"/>
      </c:catAx>
      <c:valAx>
        <c:axId val="65033459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650006912"/>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emp1'!$C$10:$H$10</c:f>
              <c:numCache>
                <c:formatCode>0%</c:formatCode>
                <c:ptCount val="6"/>
                <c:pt idx="0">
                  <c:v>0.97576719687969815</c:v>
                </c:pt>
                <c:pt idx="1">
                  <c:v>0.96525845971833546</c:v>
                </c:pt>
                <c:pt idx="2">
                  <c:v>0.93813802862201912</c:v>
                </c:pt>
                <c:pt idx="3">
                  <c:v>0.91960507757404797</c:v>
                </c:pt>
                <c:pt idx="4">
                  <c:v>0.90821771611526148</c:v>
                </c:pt>
                <c:pt idx="5">
                  <c:v>0.89056603773584908</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emp1'!$J$10:$O$10</c:f>
              <c:numCache>
                <c:formatCode>0%</c:formatCode>
                <c:ptCount val="6"/>
                <c:pt idx="0">
                  <c:v>2.4232803120301898E-2</c:v>
                </c:pt>
                <c:pt idx="1">
                  <c:v>3.4741540281664499E-2</c:v>
                </c:pt>
                <c:pt idx="2">
                  <c:v>6.1861971377980933E-2</c:v>
                </c:pt>
                <c:pt idx="3">
                  <c:v>8.0394922425952073E-2</c:v>
                </c:pt>
                <c:pt idx="4">
                  <c:v>9.1782283884738511E-2</c:v>
                </c:pt>
                <c:pt idx="5">
                  <c:v>0.10943396226415095</c:v>
                </c:pt>
              </c:numCache>
            </c:numRef>
          </c:val>
        </c:ser>
        <c:dLbls>
          <c:showLegendKey val="0"/>
          <c:showVal val="0"/>
          <c:showCatName val="0"/>
          <c:showSerName val="0"/>
          <c:showPercent val="0"/>
          <c:showBubbleSize val="0"/>
        </c:dLbls>
        <c:gapWidth val="150"/>
        <c:axId val="650467584"/>
        <c:axId val="542584832"/>
      </c:barChart>
      <c:catAx>
        <c:axId val="650467584"/>
        <c:scaling>
          <c:orientation val="minMax"/>
        </c:scaling>
        <c:delete val="0"/>
        <c:axPos val="b"/>
        <c:numFmt formatCode="General" sourceLinked="1"/>
        <c:majorTickMark val="out"/>
        <c:minorTickMark val="none"/>
        <c:tickLblPos val="nextTo"/>
        <c:crossAx val="542584832"/>
        <c:crosses val="autoZero"/>
        <c:auto val="1"/>
        <c:lblAlgn val="ctr"/>
        <c:lblOffset val="100"/>
        <c:noMultiLvlLbl val="0"/>
      </c:catAx>
      <c:valAx>
        <c:axId val="542584832"/>
        <c:scaling>
          <c:orientation val="minMax"/>
          <c:max val="1"/>
        </c:scaling>
        <c:delete val="0"/>
        <c:axPos val="l"/>
        <c:majorGridlines/>
        <c:numFmt formatCode="0%" sourceLinked="1"/>
        <c:majorTickMark val="out"/>
        <c:minorTickMark val="none"/>
        <c:tickLblPos val="nextTo"/>
        <c:crossAx val="650467584"/>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emp1'!$C$11:$H$11</c:f>
              <c:numCache>
                <c:formatCode>0%</c:formatCode>
                <c:ptCount val="6"/>
                <c:pt idx="0">
                  <c:v>0.72409277568473562</c:v>
                </c:pt>
                <c:pt idx="1">
                  <c:v>0.66703081187761593</c:v>
                </c:pt>
                <c:pt idx="2">
                  <c:v>0.5930467338715335</c:v>
                </c:pt>
                <c:pt idx="3">
                  <c:v>0.48722375690607733</c:v>
                </c:pt>
                <c:pt idx="4">
                  <c:v>0.49968553459119497</c:v>
                </c:pt>
                <c:pt idx="5">
                  <c:v>0.51930304065596178</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emp1'!$J$11:$O$11</c:f>
              <c:numCache>
                <c:formatCode>0%</c:formatCode>
                <c:ptCount val="6"/>
                <c:pt idx="0">
                  <c:v>0.27590722431526438</c:v>
                </c:pt>
                <c:pt idx="1">
                  <c:v>0.33296918812238402</c:v>
                </c:pt>
                <c:pt idx="2">
                  <c:v>0.40695326612846655</c:v>
                </c:pt>
                <c:pt idx="3">
                  <c:v>0.51277624309392267</c:v>
                </c:pt>
                <c:pt idx="4">
                  <c:v>0.50031446540880509</c:v>
                </c:pt>
                <c:pt idx="5">
                  <c:v>0.48069695934403817</c:v>
                </c:pt>
              </c:numCache>
            </c:numRef>
          </c:val>
        </c:ser>
        <c:dLbls>
          <c:showLegendKey val="0"/>
          <c:showVal val="0"/>
          <c:showCatName val="0"/>
          <c:showSerName val="0"/>
          <c:showPercent val="0"/>
          <c:showBubbleSize val="0"/>
        </c:dLbls>
        <c:gapWidth val="150"/>
        <c:axId val="542594176"/>
        <c:axId val="542595712"/>
      </c:barChart>
      <c:catAx>
        <c:axId val="542594176"/>
        <c:scaling>
          <c:orientation val="minMax"/>
        </c:scaling>
        <c:delete val="0"/>
        <c:axPos val="b"/>
        <c:numFmt formatCode="General" sourceLinked="1"/>
        <c:majorTickMark val="out"/>
        <c:minorTickMark val="none"/>
        <c:tickLblPos val="nextTo"/>
        <c:crossAx val="542595712"/>
        <c:crosses val="autoZero"/>
        <c:auto val="1"/>
        <c:lblAlgn val="ctr"/>
        <c:lblOffset val="100"/>
        <c:noMultiLvlLbl val="0"/>
      </c:catAx>
      <c:valAx>
        <c:axId val="542595712"/>
        <c:scaling>
          <c:orientation val="minMax"/>
          <c:max val="1"/>
        </c:scaling>
        <c:delete val="0"/>
        <c:axPos val="l"/>
        <c:majorGridlines/>
        <c:numFmt formatCode="0%" sourceLinked="1"/>
        <c:majorTickMark val="out"/>
        <c:minorTickMark val="none"/>
        <c:tickLblPos val="nextTo"/>
        <c:crossAx val="542594176"/>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emp1'!$C$12:$H$12</c:f>
              <c:numCache>
                <c:formatCode>0%</c:formatCode>
                <c:ptCount val="6"/>
                <c:pt idx="0">
                  <c:v>0.91606479250492978</c:v>
                </c:pt>
                <c:pt idx="1">
                  <c:v>0.89896202229572331</c:v>
                </c:pt>
                <c:pt idx="2">
                  <c:v>0.86170588311112739</c:v>
                </c:pt>
                <c:pt idx="3">
                  <c:v>0.85526315789473673</c:v>
                </c:pt>
                <c:pt idx="4">
                  <c:v>0.78297872340425534</c:v>
                </c:pt>
                <c:pt idx="5">
                  <c:v>0.79844961240310075</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emp1'!$J$12:$O$12</c:f>
              <c:numCache>
                <c:formatCode>0%</c:formatCode>
                <c:ptCount val="6"/>
                <c:pt idx="0">
                  <c:v>8.393520749507026E-2</c:v>
                </c:pt>
                <c:pt idx="1">
                  <c:v>0.10103797770427667</c:v>
                </c:pt>
                <c:pt idx="2">
                  <c:v>0.13829411688887258</c:v>
                </c:pt>
                <c:pt idx="3">
                  <c:v>0.14473684210526322</c:v>
                </c:pt>
                <c:pt idx="4">
                  <c:v>0.21702127659574469</c:v>
                </c:pt>
                <c:pt idx="5">
                  <c:v>0.20155038759689922</c:v>
                </c:pt>
              </c:numCache>
            </c:numRef>
          </c:val>
        </c:ser>
        <c:dLbls>
          <c:showLegendKey val="0"/>
          <c:showVal val="0"/>
          <c:showCatName val="0"/>
          <c:showSerName val="0"/>
          <c:showPercent val="0"/>
          <c:showBubbleSize val="0"/>
        </c:dLbls>
        <c:gapWidth val="150"/>
        <c:axId val="542604672"/>
        <c:axId val="542606464"/>
      </c:barChart>
      <c:catAx>
        <c:axId val="542604672"/>
        <c:scaling>
          <c:orientation val="minMax"/>
        </c:scaling>
        <c:delete val="0"/>
        <c:axPos val="b"/>
        <c:numFmt formatCode="General" sourceLinked="1"/>
        <c:majorTickMark val="out"/>
        <c:minorTickMark val="none"/>
        <c:tickLblPos val="nextTo"/>
        <c:crossAx val="542606464"/>
        <c:crosses val="autoZero"/>
        <c:auto val="1"/>
        <c:lblAlgn val="ctr"/>
        <c:lblOffset val="100"/>
        <c:noMultiLvlLbl val="0"/>
      </c:catAx>
      <c:valAx>
        <c:axId val="542606464"/>
        <c:scaling>
          <c:orientation val="minMax"/>
          <c:max val="1"/>
        </c:scaling>
        <c:delete val="0"/>
        <c:axPos val="l"/>
        <c:majorGridlines/>
        <c:numFmt formatCode="0%" sourceLinked="1"/>
        <c:majorTickMark val="out"/>
        <c:minorTickMark val="none"/>
        <c:tickLblPos val="nextTo"/>
        <c:crossAx val="54260467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emp1'!$C$13:$H$13</c:f>
              <c:numCache>
                <c:formatCode>0%</c:formatCode>
                <c:ptCount val="6"/>
                <c:pt idx="0">
                  <c:v>0.60652121263175629</c:v>
                </c:pt>
                <c:pt idx="1">
                  <c:v>0.58058189228150037</c:v>
                </c:pt>
                <c:pt idx="2">
                  <c:v>0.51961020027903126</c:v>
                </c:pt>
                <c:pt idx="3">
                  <c:v>0.59647404505386881</c:v>
                </c:pt>
                <c:pt idx="4">
                  <c:v>0.57025411061285503</c:v>
                </c:pt>
                <c:pt idx="5">
                  <c:v>0.59178743961352653</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emp1'!$J$13:$O$13</c:f>
              <c:numCache>
                <c:formatCode>0%</c:formatCode>
                <c:ptCount val="6"/>
                <c:pt idx="0">
                  <c:v>0.39347878736824365</c:v>
                </c:pt>
                <c:pt idx="1">
                  <c:v>0.41941810771849969</c:v>
                </c:pt>
                <c:pt idx="2">
                  <c:v>0.48038979972096868</c:v>
                </c:pt>
                <c:pt idx="3">
                  <c:v>0.40352595494613119</c:v>
                </c:pt>
                <c:pt idx="4">
                  <c:v>0.42974588938714497</c:v>
                </c:pt>
                <c:pt idx="5">
                  <c:v>0.40821256038647352</c:v>
                </c:pt>
              </c:numCache>
            </c:numRef>
          </c:val>
        </c:ser>
        <c:dLbls>
          <c:showLegendKey val="0"/>
          <c:showVal val="0"/>
          <c:showCatName val="0"/>
          <c:showSerName val="0"/>
          <c:showPercent val="0"/>
          <c:showBubbleSize val="0"/>
        </c:dLbls>
        <c:gapWidth val="150"/>
        <c:axId val="542619520"/>
        <c:axId val="542621056"/>
      </c:barChart>
      <c:catAx>
        <c:axId val="542619520"/>
        <c:scaling>
          <c:orientation val="minMax"/>
        </c:scaling>
        <c:delete val="0"/>
        <c:axPos val="b"/>
        <c:numFmt formatCode="General" sourceLinked="1"/>
        <c:majorTickMark val="out"/>
        <c:minorTickMark val="none"/>
        <c:tickLblPos val="nextTo"/>
        <c:crossAx val="542621056"/>
        <c:crosses val="autoZero"/>
        <c:auto val="1"/>
        <c:lblAlgn val="ctr"/>
        <c:lblOffset val="100"/>
        <c:noMultiLvlLbl val="0"/>
      </c:catAx>
      <c:valAx>
        <c:axId val="542621056"/>
        <c:scaling>
          <c:orientation val="minMax"/>
          <c:max val="1"/>
        </c:scaling>
        <c:delete val="0"/>
        <c:axPos val="l"/>
        <c:majorGridlines/>
        <c:numFmt formatCode="0%" sourceLinked="1"/>
        <c:majorTickMark val="out"/>
        <c:minorTickMark val="none"/>
        <c:tickLblPos val="nextTo"/>
        <c:crossAx val="542619520"/>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employment2'!$B$7</c:f>
              <c:numCache>
                <c:formatCode>#,##0.0_ ;\-#,##0.0\ </c:formatCode>
                <c:ptCount val="1"/>
                <c:pt idx="0">
                  <c:v>-1.2609080110592927</c:v>
                </c:pt>
              </c:numCache>
            </c:numRef>
          </c:xVal>
          <c:yVal>
            <c:numRef>
              <c:f>'Rel. prod. cf employment2'!$C$7</c:f>
              <c:numCache>
                <c:formatCode>#,##0.0_ ;\-#,##0.0\ </c:formatCode>
                <c:ptCount val="1"/>
                <c:pt idx="0">
                  <c:v>0.22087185058612946</c:v>
                </c:pt>
              </c:numCache>
            </c:numRef>
          </c:yVal>
          <c:bubbleSize>
            <c:numRef>
              <c:f>'Rel. prod. cf employment2'!$E$7</c:f>
              <c:numCache>
                <c:formatCode>#,##0_ ;\-#,##0\ </c:formatCode>
                <c:ptCount val="1"/>
                <c:pt idx="0">
                  <c:v>1689</c:v>
                </c:pt>
              </c:numCache>
            </c:numRef>
          </c:bubbleSize>
          <c:bubble3D val="1"/>
        </c:ser>
        <c:ser>
          <c:idx val="1"/>
          <c:order val="1"/>
          <c:tx>
            <c:v>Mining &amp; utilities</c:v>
          </c:tx>
          <c:spPr>
            <a:solidFill>
              <a:srgbClr val="000000"/>
            </a:solidFill>
            <a:ln w="25400">
              <a:noFill/>
            </a:ln>
          </c:spPr>
          <c:invertIfNegative val="0"/>
          <c:xVal>
            <c:numRef>
              <c:f>'Rel. prod. cf employment2'!$B$8</c:f>
              <c:numCache>
                <c:formatCode>#,##0.0_ ;\-#,##0.0\ </c:formatCode>
                <c:ptCount val="1"/>
                <c:pt idx="0">
                  <c:v>-0.40991675648436221</c:v>
                </c:pt>
              </c:numCache>
            </c:numRef>
          </c:xVal>
          <c:yVal>
            <c:numRef>
              <c:f>'Rel. prod. cf employment2'!$C$8</c:f>
              <c:numCache>
                <c:formatCode>#,##0.0_ ;\-#,##0.0\ </c:formatCode>
                <c:ptCount val="1"/>
                <c:pt idx="0">
                  <c:v>2.1373734232063324</c:v>
                </c:pt>
              </c:numCache>
            </c:numRef>
          </c:yVal>
          <c:bubbleSize>
            <c:numRef>
              <c:f>'Rel. prod. cf employment2'!$E$8</c:f>
              <c:numCache>
                <c:formatCode>#,##0_ ;\-#,##0\ </c:formatCode>
                <c:ptCount val="1"/>
                <c:pt idx="0">
                  <c:v>617</c:v>
                </c:pt>
              </c:numCache>
            </c:numRef>
          </c:bubbleSize>
          <c:bubble3D val="1"/>
        </c:ser>
        <c:ser>
          <c:idx val="2"/>
          <c:order val="2"/>
          <c:tx>
            <c:v>Manufacturing</c:v>
          </c:tx>
          <c:spPr>
            <a:solidFill>
              <a:srgbClr val="CC6600"/>
            </a:solidFill>
            <a:ln w="25400">
              <a:noFill/>
            </a:ln>
          </c:spPr>
          <c:invertIfNegative val="0"/>
          <c:xVal>
            <c:numRef>
              <c:f>'Rel. prod. cf employment2'!$B$9</c:f>
              <c:numCache>
                <c:formatCode>#,##0.0_ ;\-#,##0.0\ </c:formatCode>
                <c:ptCount val="1"/>
                <c:pt idx="0">
                  <c:v>-1.481616745685864</c:v>
                </c:pt>
              </c:numCache>
            </c:numRef>
          </c:xVal>
          <c:yVal>
            <c:numRef>
              <c:f>'Rel. prod. cf employment2'!$C$9</c:f>
              <c:numCache>
                <c:formatCode>#,##0.0_ ;\-#,##0.0\ </c:formatCode>
                <c:ptCount val="1"/>
                <c:pt idx="0">
                  <c:v>1.6799565714502245</c:v>
                </c:pt>
              </c:numCache>
            </c:numRef>
          </c:yVal>
          <c:bubbleSize>
            <c:numRef>
              <c:f>'Rel. prod. cf employment2'!$E$9</c:f>
              <c:numCache>
                <c:formatCode>#,##0_ ;\-#,##0\ </c:formatCode>
                <c:ptCount val="1"/>
                <c:pt idx="0">
                  <c:v>1397</c:v>
                </c:pt>
              </c:numCache>
            </c:numRef>
          </c:bubbleSize>
          <c:bubble3D val="1"/>
        </c:ser>
        <c:ser>
          <c:idx val="3"/>
          <c:order val="3"/>
          <c:tx>
            <c:v>Construction</c:v>
          </c:tx>
          <c:spPr>
            <a:solidFill>
              <a:srgbClr val="FFFF00"/>
            </a:solidFill>
            <a:ln w="25400">
              <a:noFill/>
            </a:ln>
          </c:spPr>
          <c:invertIfNegative val="0"/>
          <c:xVal>
            <c:numRef>
              <c:f>'Rel. prod. cf employment2'!$B$10</c:f>
              <c:numCache>
                <c:formatCode>#,##0.0_ ;\-#,##0.0\ </c:formatCode>
                <c:ptCount val="1"/>
                <c:pt idx="0">
                  <c:v>0.65975766540548442</c:v>
                </c:pt>
              </c:numCache>
            </c:numRef>
          </c:xVal>
          <c:yVal>
            <c:numRef>
              <c:f>'Rel. prod. cf employment2'!$C$10</c:f>
              <c:numCache>
                <c:formatCode>#,##0.0_ ;\-#,##0.0\ </c:formatCode>
                <c:ptCount val="1"/>
                <c:pt idx="0">
                  <c:v>0.49244975698001003</c:v>
                </c:pt>
              </c:numCache>
            </c:numRef>
          </c:yVal>
          <c:bubbleSize>
            <c:numRef>
              <c:f>'Rel. prod. cf employment2'!$E$10</c:f>
              <c:numCache>
                <c:formatCode>#,##0_ ;\-#,##0\ </c:formatCode>
                <c:ptCount val="1"/>
                <c:pt idx="0">
                  <c:v>606</c:v>
                </c:pt>
              </c:numCache>
            </c:numRef>
          </c:bubbleSize>
          <c:bubble3D val="1"/>
        </c:ser>
        <c:ser>
          <c:idx val="4"/>
          <c:order val="4"/>
          <c:tx>
            <c:v>Wholesale, retail, hotels</c:v>
          </c:tx>
          <c:spPr>
            <a:solidFill>
              <a:srgbClr val="6666FF"/>
            </a:solidFill>
            <a:ln w="25400">
              <a:noFill/>
            </a:ln>
          </c:spPr>
          <c:invertIfNegative val="0"/>
          <c:xVal>
            <c:numRef>
              <c:f>'Rel. prod. cf employment2'!$B$11</c:f>
              <c:numCache>
                <c:formatCode>#,##0.0_ ;\-#,##0.0\ </c:formatCode>
                <c:ptCount val="1"/>
                <c:pt idx="0">
                  <c:v>0.88178225473996719</c:v>
                </c:pt>
              </c:numCache>
            </c:numRef>
          </c:xVal>
          <c:yVal>
            <c:numRef>
              <c:f>'Rel. prod. cf employment2'!$C$11</c:f>
              <c:numCache>
                <c:formatCode>#,##0.0_ ;\-#,##0.0\ </c:formatCode>
                <c:ptCount val="1"/>
                <c:pt idx="0">
                  <c:v>0.72434174806738783</c:v>
                </c:pt>
              </c:numCache>
            </c:numRef>
          </c:yVal>
          <c:bubbleSize>
            <c:numRef>
              <c:f>'Rel. prod. cf employment2'!$E$11</c:f>
              <c:numCache>
                <c:formatCode>#,##0_ ;\-#,##0\ </c:formatCode>
                <c:ptCount val="1"/>
                <c:pt idx="0">
                  <c:v>2438</c:v>
                </c:pt>
              </c:numCache>
            </c:numRef>
          </c:bubbleSize>
          <c:bubble3D val="1"/>
        </c:ser>
        <c:ser>
          <c:idx val="5"/>
          <c:order val="5"/>
          <c:tx>
            <c:v>Transport, storage, comms</c:v>
          </c:tx>
          <c:spPr>
            <a:solidFill>
              <a:srgbClr val="66FFFF"/>
            </a:solidFill>
            <a:ln w="25400">
              <a:noFill/>
            </a:ln>
          </c:spPr>
          <c:invertIfNegative val="0"/>
          <c:xVal>
            <c:numRef>
              <c:f>'Rel. prod. cf employment2'!$B$12</c:f>
              <c:numCache>
                <c:formatCode>#,##0.0_ ;\-#,##0.0\ </c:formatCode>
                <c:ptCount val="1"/>
                <c:pt idx="0">
                  <c:v>0.248433368852921</c:v>
                </c:pt>
              </c:numCache>
            </c:numRef>
          </c:xVal>
          <c:yVal>
            <c:numRef>
              <c:f>'Rel. prod. cf employment2'!$C$12</c:f>
              <c:numCache>
                <c:formatCode>#,##0.0_ ;\-#,##0.0\ </c:formatCode>
                <c:ptCount val="1"/>
                <c:pt idx="0">
                  <c:v>2.3181287205726</c:v>
                </c:pt>
              </c:numCache>
            </c:numRef>
          </c:yVal>
          <c:bubbleSize>
            <c:numRef>
              <c:f>'Rel. prod. cf employment2'!$E$12</c:f>
              <c:numCache>
                <c:formatCode>#,##0_ ;\-#,##0\ </c:formatCode>
                <c:ptCount val="1"/>
                <c:pt idx="0">
                  <c:v>520</c:v>
                </c:pt>
              </c:numCache>
            </c:numRef>
          </c:bubbleSize>
          <c:bubble3D val="1"/>
        </c:ser>
        <c:ser>
          <c:idx val="6"/>
          <c:order val="6"/>
          <c:tx>
            <c:v>Other</c:v>
          </c:tx>
          <c:spPr>
            <a:solidFill>
              <a:srgbClr val="FF00FF"/>
            </a:solidFill>
            <a:ln w="25400">
              <a:noFill/>
            </a:ln>
          </c:spPr>
          <c:invertIfNegative val="0"/>
          <c:xVal>
            <c:numRef>
              <c:f>'Rel. prod. cf employment2'!$B$13</c:f>
              <c:numCache>
                <c:formatCode>#,##0.0_ ;\-#,##0.0\ </c:formatCode>
                <c:ptCount val="1"/>
                <c:pt idx="0">
                  <c:v>1.3624682242311508</c:v>
                </c:pt>
              </c:numCache>
            </c:numRef>
          </c:xVal>
          <c:yVal>
            <c:numRef>
              <c:f>'Rel. prod. cf employment2'!$C$13</c:f>
              <c:numCache>
                <c:formatCode>#,##0.0_ ;\-#,##0.0\ </c:formatCode>
                <c:ptCount val="1"/>
                <c:pt idx="0">
                  <c:v>0.99208316664311036</c:v>
                </c:pt>
              </c:numCache>
            </c:numRef>
          </c:yVal>
          <c:bubbleSize>
            <c:numRef>
              <c:f>'Rel. prod. cf employment2'!$E$13</c:f>
              <c:numCache>
                <c:formatCode>#,##0_ ;\-#,##0\ </c:formatCode>
                <c:ptCount val="1"/>
                <c:pt idx="0">
                  <c:v>5243</c:v>
                </c:pt>
              </c:numCache>
            </c:numRef>
          </c:bubbleSize>
          <c:bubble3D val="1"/>
        </c:ser>
        <c:dLbls>
          <c:showLegendKey val="0"/>
          <c:showVal val="0"/>
          <c:showCatName val="0"/>
          <c:showSerName val="0"/>
          <c:showPercent val="0"/>
          <c:showBubbleSize val="0"/>
        </c:dLbls>
        <c:bubbleScale val="100"/>
        <c:showNegBubbles val="0"/>
        <c:axId val="643911040"/>
        <c:axId val="643933696"/>
      </c:bubbleChart>
      <c:valAx>
        <c:axId val="643911040"/>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643933696"/>
        <c:crosses val="autoZero"/>
        <c:crossBetween val="midCat"/>
      </c:valAx>
      <c:valAx>
        <c:axId val="64393369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6439110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employment2'!$B$24</c:f>
              <c:numCache>
                <c:formatCode>#,##0.0_ ;\-#,##0.0\ </c:formatCode>
                <c:ptCount val="1"/>
                <c:pt idx="0">
                  <c:v>-7.1284360551715764</c:v>
                </c:pt>
              </c:numCache>
            </c:numRef>
          </c:xVal>
          <c:yVal>
            <c:numRef>
              <c:f>'Rel. prod. cf employment2'!$C$24</c:f>
              <c:numCache>
                <c:formatCode>#,##0.0_ ;\-#,##0.0\ </c:formatCode>
                <c:ptCount val="1"/>
                <c:pt idx="0">
                  <c:v>0.41836517976732462</c:v>
                </c:pt>
              </c:numCache>
            </c:numRef>
          </c:yVal>
          <c:bubbleSize>
            <c:numRef>
              <c:f>'Rel. prod. cf employment2'!$E$24</c:f>
              <c:numCache>
                <c:formatCode>#,##0_ ;\-#,##0\ </c:formatCode>
                <c:ptCount val="1"/>
                <c:pt idx="0">
                  <c:v>876</c:v>
                </c:pt>
              </c:numCache>
            </c:numRef>
          </c:bubbleSize>
          <c:bubble3D val="1"/>
        </c:ser>
        <c:ser>
          <c:idx val="1"/>
          <c:order val="1"/>
          <c:tx>
            <c:v>Mining &amp; utilities</c:v>
          </c:tx>
          <c:spPr>
            <a:solidFill>
              <a:srgbClr val="000000"/>
            </a:solidFill>
            <a:ln w="25400">
              <a:noFill/>
            </a:ln>
          </c:spPr>
          <c:invertIfNegative val="0"/>
          <c:xVal>
            <c:numRef>
              <c:f>'Rel. prod. cf employment2'!$B$25</c:f>
              <c:numCache>
                <c:formatCode>#,##0.0_ ;\-#,##0.0\ </c:formatCode>
                <c:ptCount val="1"/>
                <c:pt idx="0">
                  <c:v>-1.4546791200823717</c:v>
                </c:pt>
              </c:numCache>
            </c:numRef>
          </c:xVal>
          <c:yVal>
            <c:numRef>
              <c:f>'Rel. prod. cf employment2'!$C$25</c:f>
              <c:numCache>
                <c:formatCode>#,##0.0_ ;\-#,##0.0\ </c:formatCode>
                <c:ptCount val="1"/>
                <c:pt idx="0">
                  <c:v>2.6583375651894769</c:v>
                </c:pt>
              </c:numCache>
            </c:numRef>
          </c:yVal>
          <c:bubbleSize>
            <c:numRef>
              <c:f>'Rel. prod. cf employment2'!$E$25</c:f>
              <c:numCache>
                <c:formatCode>#,##0_ ;\-#,##0\ </c:formatCode>
                <c:ptCount val="1"/>
                <c:pt idx="0">
                  <c:v>478</c:v>
                </c:pt>
              </c:numCache>
            </c:numRef>
          </c:bubbleSize>
          <c:bubble3D val="1"/>
        </c:ser>
        <c:ser>
          <c:idx val="2"/>
          <c:order val="2"/>
          <c:tx>
            <c:v>Manufacturing</c:v>
          </c:tx>
          <c:spPr>
            <a:solidFill>
              <a:srgbClr val="CC6600"/>
            </a:solidFill>
            <a:ln w="25400">
              <a:noFill/>
            </a:ln>
          </c:spPr>
          <c:invertIfNegative val="0"/>
          <c:xVal>
            <c:numRef>
              <c:f>'Rel. prod. cf employment2'!$B$26</c:f>
              <c:numCache>
                <c:formatCode>#,##0.0_ ;\-#,##0.0\ </c:formatCode>
                <c:ptCount val="1"/>
                <c:pt idx="0">
                  <c:v>0.64000480104785673</c:v>
                </c:pt>
              </c:numCache>
            </c:numRef>
          </c:xVal>
          <c:yVal>
            <c:numRef>
              <c:f>'Rel. prod. cf employment2'!$C$26</c:f>
              <c:numCache>
                <c:formatCode>#,##0.0_ ;\-#,##0.0\ </c:formatCode>
                <c:ptCount val="1"/>
                <c:pt idx="0">
                  <c:v>1.5363389066156055</c:v>
                </c:pt>
              </c:numCache>
            </c:numRef>
          </c:yVal>
          <c:bubbleSize>
            <c:numRef>
              <c:f>'Rel. prod. cf employment2'!$E$26</c:f>
              <c:numCache>
                <c:formatCode>#,##0_ ;\-#,##0\ </c:formatCode>
                <c:ptCount val="1"/>
                <c:pt idx="0">
                  <c:v>1623</c:v>
                </c:pt>
              </c:numCache>
            </c:numRef>
          </c:bubbleSize>
          <c:bubble3D val="1"/>
        </c:ser>
        <c:ser>
          <c:idx val="3"/>
          <c:order val="3"/>
          <c:tx>
            <c:v>Construction</c:v>
          </c:tx>
          <c:spPr>
            <a:solidFill>
              <a:srgbClr val="FFFF00"/>
            </a:solidFill>
            <a:ln w="25400">
              <a:noFill/>
            </a:ln>
          </c:spPr>
          <c:invertIfNegative val="0"/>
          <c:xVal>
            <c:numRef>
              <c:f>'Rel. prod. cf employment2'!$B$27</c:f>
              <c:numCache>
                <c:formatCode>#,##0.0_ ;\-#,##0.0\ </c:formatCode>
                <c:ptCount val="1"/>
                <c:pt idx="0">
                  <c:v>1.6159364084463546</c:v>
                </c:pt>
              </c:numCache>
            </c:numRef>
          </c:xVal>
          <c:yVal>
            <c:numRef>
              <c:f>'Rel. prod. cf employment2'!$C$27</c:f>
              <c:numCache>
                <c:formatCode>#,##0.0_ ;\-#,##0.0\ </c:formatCode>
                <c:ptCount val="1"/>
                <c:pt idx="0">
                  <c:v>0.44797519557973769</c:v>
                </c:pt>
              </c:numCache>
            </c:numRef>
          </c:yVal>
          <c:bubbleSize>
            <c:numRef>
              <c:f>'Rel. prod. cf employment2'!$E$27</c:f>
              <c:numCache>
                <c:formatCode>#,##0_ ;\-#,##0\ </c:formatCode>
                <c:ptCount val="1"/>
                <c:pt idx="0">
                  <c:v>888</c:v>
                </c:pt>
              </c:numCache>
            </c:numRef>
          </c:bubbleSize>
          <c:bubble3D val="1"/>
        </c:ser>
        <c:ser>
          <c:idx val="4"/>
          <c:order val="4"/>
          <c:tx>
            <c:v>Wholesale, retail, hotels</c:v>
          </c:tx>
          <c:spPr>
            <a:solidFill>
              <a:srgbClr val="6666FF"/>
            </a:solidFill>
            <a:ln w="25400">
              <a:noFill/>
            </a:ln>
          </c:spPr>
          <c:invertIfNegative val="0"/>
          <c:xVal>
            <c:numRef>
              <c:f>'Rel. prod. cf employment2'!$B$28</c:f>
              <c:numCache>
                <c:formatCode>#,##0.0_ ;\-#,##0.0\ </c:formatCode>
                <c:ptCount val="1"/>
                <c:pt idx="0">
                  <c:v>3.5219210053170862</c:v>
                </c:pt>
              </c:numCache>
            </c:numRef>
          </c:xVal>
          <c:yVal>
            <c:numRef>
              <c:f>'Rel. prod. cf employment2'!$C$28</c:f>
              <c:numCache>
                <c:formatCode>#,##0.0_ ;\-#,##0.0\ </c:formatCode>
                <c:ptCount val="1"/>
                <c:pt idx="0">
                  <c:v>0.61534548640544762</c:v>
                </c:pt>
              </c:numCache>
            </c:numRef>
          </c:yVal>
          <c:bubbleSize>
            <c:numRef>
              <c:f>'Rel. prod. cf employment2'!$E$28</c:f>
              <c:numCache>
                <c:formatCode>#,##0_ ;\-#,##0\ </c:formatCode>
                <c:ptCount val="1"/>
                <c:pt idx="0">
                  <c:v>3163</c:v>
                </c:pt>
              </c:numCache>
            </c:numRef>
          </c:bubbleSize>
          <c:bubble3D val="1"/>
        </c:ser>
        <c:ser>
          <c:idx val="5"/>
          <c:order val="5"/>
          <c:tx>
            <c:v>Transport, storage, comms</c:v>
          </c:tx>
          <c:spPr>
            <a:solidFill>
              <a:srgbClr val="66FFFF"/>
            </a:solidFill>
            <a:ln w="25400">
              <a:noFill/>
            </a:ln>
          </c:spPr>
          <c:invertIfNegative val="0"/>
          <c:xVal>
            <c:numRef>
              <c:f>'Rel. prod. cf employment2'!$B$29</c:f>
              <c:numCache>
                <c:formatCode>#,##0.0_ ;\-#,##0.0\ </c:formatCode>
                <c:ptCount val="1"/>
                <c:pt idx="0">
                  <c:v>9.1833996792090034E-2</c:v>
                </c:pt>
              </c:numCache>
            </c:numRef>
          </c:xVal>
          <c:yVal>
            <c:numRef>
              <c:f>'Rel. prod. cf employment2'!$C$29</c:f>
              <c:numCache>
                <c:formatCode>#,##0.0_ ;\-#,##0.0\ </c:formatCode>
                <c:ptCount val="1"/>
                <c:pt idx="0">
                  <c:v>2.5561053006967627</c:v>
                </c:pt>
              </c:numCache>
            </c:numRef>
          </c:yVal>
          <c:bubbleSize>
            <c:numRef>
              <c:f>'Rel. prod. cf employment2'!$E$29</c:f>
              <c:numCache>
                <c:formatCode>#,##0_ ;\-#,##0\ </c:formatCode>
                <c:ptCount val="1"/>
                <c:pt idx="0">
                  <c:v>584</c:v>
                </c:pt>
              </c:numCache>
            </c:numRef>
          </c:bubbleSize>
          <c:bubble3D val="1"/>
        </c:ser>
        <c:ser>
          <c:idx val="6"/>
          <c:order val="6"/>
          <c:tx>
            <c:v>Other</c:v>
          </c:tx>
          <c:spPr>
            <a:solidFill>
              <a:srgbClr val="FF00FF"/>
            </a:solidFill>
            <a:ln w="25400">
              <a:noFill/>
            </a:ln>
          </c:spPr>
          <c:invertIfNegative val="0"/>
          <c:xVal>
            <c:numRef>
              <c:f>'Rel. prod. cf employment2'!$B$30</c:f>
              <c:numCache>
                <c:formatCode>#,##0.0_ ;\-#,##0.0\ </c:formatCode>
                <c:ptCount val="1"/>
                <c:pt idx="0">
                  <c:v>2.7134189636505539</c:v>
                </c:pt>
              </c:numCache>
            </c:numRef>
          </c:xVal>
          <c:yVal>
            <c:numRef>
              <c:f>'Rel. prod. cf employment2'!$C$30</c:f>
              <c:numCache>
                <c:formatCode>#,##0.0_ ;\-#,##0.0\ </c:formatCode>
                <c:ptCount val="1"/>
                <c:pt idx="0">
                  <c:v>0.94203512522725419</c:v>
                </c:pt>
              </c:numCache>
            </c:numRef>
          </c:yVal>
          <c:bubbleSize>
            <c:numRef>
              <c:f>'Rel. prod. cf employment2'!$E$30</c:f>
              <c:numCache>
                <c:formatCode>#,##0_ ;\-#,##0\ </c:formatCode>
                <c:ptCount val="1"/>
                <c:pt idx="0">
                  <c:v>6134</c:v>
                </c:pt>
              </c:numCache>
            </c:numRef>
          </c:bubbleSize>
          <c:bubble3D val="1"/>
        </c:ser>
        <c:dLbls>
          <c:showLegendKey val="0"/>
          <c:showVal val="0"/>
          <c:showCatName val="0"/>
          <c:showSerName val="0"/>
          <c:showPercent val="0"/>
          <c:showBubbleSize val="0"/>
        </c:dLbls>
        <c:bubbleScale val="100"/>
        <c:showNegBubbles val="0"/>
        <c:axId val="644328448"/>
        <c:axId val="644433024"/>
      </c:bubbleChart>
      <c:valAx>
        <c:axId val="644328448"/>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644433024"/>
        <c:crosses val="autoZero"/>
        <c:crossBetween val="midCat"/>
      </c:valAx>
      <c:valAx>
        <c:axId val="64443302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64432844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1"/>
          <c:order val="0"/>
          <c:tx>
            <c:v>Mining &amp; utilities</c:v>
          </c:tx>
          <c:spPr>
            <a:solidFill>
              <a:srgbClr val="000000"/>
            </a:solidFill>
            <a:ln w="25400">
              <a:noFill/>
            </a:ln>
          </c:spPr>
          <c:invertIfNegative val="0"/>
          <c:xVal>
            <c:numRef>
              <c:f>'Rel. prod. cf employment2'!$B$42</c:f>
              <c:numCache>
                <c:formatCode>#,##0.0_ ;\-#,##0.0\ </c:formatCode>
                <c:ptCount val="1"/>
                <c:pt idx="0">
                  <c:v>-0.95967264005161423</c:v>
                </c:pt>
              </c:numCache>
            </c:numRef>
          </c:xVal>
          <c:yVal>
            <c:numRef>
              <c:f>'Rel. prod. cf employment2'!$C$42</c:f>
              <c:numCache>
                <c:formatCode>#,##0.0_ ;\-#,##0.0\ </c:formatCode>
                <c:ptCount val="1"/>
                <c:pt idx="0">
                  <c:v>2.8284075184822446</c:v>
                </c:pt>
              </c:numCache>
            </c:numRef>
          </c:yVal>
          <c:bubbleSize>
            <c:numRef>
              <c:f>'Rel. prod. cf employment2'!$E$42</c:f>
              <c:numCache>
                <c:formatCode>#,##0_ ;\-#,##0\ </c:formatCode>
                <c:ptCount val="1"/>
                <c:pt idx="0">
                  <c:v>352</c:v>
                </c:pt>
              </c:numCache>
            </c:numRef>
          </c:bubbleSize>
          <c:bubble3D val="1"/>
        </c:ser>
        <c:ser>
          <c:idx val="2"/>
          <c:order val="1"/>
          <c:tx>
            <c:v>Manufacturing</c:v>
          </c:tx>
          <c:spPr>
            <a:solidFill>
              <a:srgbClr val="CC6600"/>
            </a:solidFill>
            <a:ln w="25400">
              <a:noFill/>
            </a:ln>
          </c:spPr>
          <c:invertIfNegative val="0"/>
          <c:xVal>
            <c:numRef>
              <c:f>'Rel. prod. cf employment2'!$B$43</c:f>
              <c:numCache>
                <c:formatCode>#,##0.0_ ;\-#,##0.0\ </c:formatCode>
                <c:ptCount val="1"/>
                <c:pt idx="0">
                  <c:v>-0.72774921105593471</c:v>
                </c:pt>
              </c:numCache>
            </c:numRef>
          </c:xVal>
          <c:yVal>
            <c:numRef>
              <c:f>'Rel. prod. cf employment2'!$C$43</c:f>
              <c:numCache>
                <c:formatCode>#,##0.0_ ;\-#,##0.0\ </c:formatCode>
                <c:ptCount val="1"/>
                <c:pt idx="0">
                  <c:v>1.5245663430968983</c:v>
                </c:pt>
              </c:numCache>
            </c:numRef>
          </c:yVal>
          <c:bubbleSize>
            <c:numRef>
              <c:f>'Rel. prod. cf employment2'!$E$43</c:f>
              <c:numCache>
                <c:formatCode>#,##0_ ;\-#,##0\ </c:formatCode>
                <c:ptCount val="1"/>
                <c:pt idx="0">
                  <c:v>1549</c:v>
                </c:pt>
              </c:numCache>
            </c:numRef>
          </c:bubbleSize>
          <c:bubble3D val="1"/>
        </c:ser>
        <c:ser>
          <c:idx val="3"/>
          <c:order val="2"/>
          <c:tx>
            <c:v>Construction</c:v>
          </c:tx>
          <c:spPr>
            <a:solidFill>
              <a:srgbClr val="FFFF00"/>
            </a:solidFill>
            <a:ln w="25400">
              <a:noFill/>
            </a:ln>
          </c:spPr>
          <c:invertIfNegative val="0"/>
          <c:xVal>
            <c:numRef>
              <c:f>'Rel. prod. cf employment2'!$B$44</c:f>
              <c:numCache>
                <c:formatCode>#,##0.0_ ;\-#,##0.0\ </c:formatCode>
                <c:ptCount val="1"/>
                <c:pt idx="0">
                  <c:v>0.29911205489298087</c:v>
                </c:pt>
              </c:numCache>
            </c:numRef>
          </c:xVal>
          <c:yVal>
            <c:numRef>
              <c:f>'Rel. prod. cf employment2'!$C$44</c:f>
              <c:numCache>
                <c:formatCode>#,##0.0_ ;\-#,##0.0\ </c:formatCode>
                <c:ptCount val="1"/>
                <c:pt idx="0">
                  <c:v>0.56267278774000973</c:v>
                </c:pt>
              </c:numCache>
            </c:numRef>
          </c:yVal>
          <c:bubbleSize>
            <c:numRef>
              <c:f>'Rel. prod. cf employment2'!$E$44</c:f>
              <c:numCache>
                <c:formatCode>#,##0_ ;\-#,##0\ </c:formatCode>
                <c:ptCount val="1"/>
                <c:pt idx="0">
                  <c:v>945</c:v>
                </c:pt>
              </c:numCache>
            </c:numRef>
          </c:bubbleSize>
          <c:bubble3D val="1"/>
        </c:ser>
        <c:ser>
          <c:idx val="4"/>
          <c:order val="3"/>
          <c:tx>
            <c:v>Wholesale, retail, hotels</c:v>
          </c:tx>
          <c:spPr>
            <a:solidFill>
              <a:srgbClr val="6666FF"/>
            </a:solidFill>
            <a:ln w="25400">
              <a:noFill/>
            </a:ln>
          </c:spPr>
          <c:invertIfNegative val="0"/>
          <c:xVal>
            <c:numRef>
              <c:f>'Rel. prod. cf employment2'!$B$45</c:f>
              <c:numCache>
                <c:formatCode>#,##0.0_ ;\-#,##0.0\ </c:formatCode>
                <c:ptCount val="1"/>
                <c:pt idx="0">
                  <c:v>-2.0390120603180186</c:v>
                </c:pt>
              </c:numCache>
            </c:numRef>
          </c:xVal>
          <c:yVal>
            <c:numRef>
              <c:f>'Rel. prod. cf employment2'!$C$45</c:f>
              <c:numCache>
                <c:formatCode>#,##0.0_ ;\-#,##0.0\ </c:formatCode>
                <c:ptCount val="1"/>
                <c:pt idx="0">
                  <c:v>0.68063776772407014</c:v>
                </c:pt>
              </c:numCache>
            </c:numRef>
          </c:yVal>
          <c:bubbleSize>
            <c:numRef>
              <c:f>'Rel. prod. cf employment2'!$E$45</c:f>
              <c:numCache>
                <c:formatCode>#,##0_ ;\-#,##0\ </c:formatCode>
                <c:ptCount val="1"/>
                <c:pt idx="0">
                  <c:v>2932</c:v>
                </c:pt>
              </c:numCache>
            </c:numRef>
          </c:bubbleSize>
          <c:bubble3D val="1"/>
        </c:ser>
        <c:ser>
          <c:idx val="5"/>
          <c:order val="4"/>
          <c:tx>
            <c:v>Transport, storage, comms</c:v>
          </c:tx>
          <c:spPr>
            <a:solidFill>
              <a:srgbClr val="66FFFF"/>
            </a:solidFill>
            <a:ln w="25400">
              <a:noFill/>
            </a:ln>
          </c:spPr>
          <c:invertIfNegative val="0"/>
          <c:xVal>
            <c:numRef>
              <c:f>'Rel. prod. cf employment2'!$B$46</c:f>
              <c:numCache>
                <c:formatCode>#,##0.0_ ;\-#,##0.0\ </c:formatCode>
                <c:ptCount val="1"/>
                <c:pt idx="0">
                  <c:v>0.68676063697804146</c:v>
                </c:pt>
              </c:numCache>
            </c:numRef>
          </c:xVal>
          <c:yVal>
            <c:numRef>
              <c:f>'Rel. prod. cf employment2'!$C$46</c:f>
              <c:numCache>
                <c:formatCode>#,##0.0_ ;\-#,##0.0\ </c:formatCode>
                <c:ptCount val="1"/>
                <c:pt idx="0">
                  <c:v>2.239725873266035</c:v>
                </c:pt>
              </c:numCache>
            </c:numRef>
          </c:yVal>
          <c:bubbleSize>
            <c:numRef>
              <c:f>'Rel. prod. cf employment2'!$E$46</c:f>
              <c:numCache>
                <c:formatCode>#,##0_ ;\-#,##0\ </c:formatCode>
                <c:ptCount val="1"/>
                <c:pt idx="0">
                  <c:v>690</c:v>
                </c:pt>
              </c:numCache>
            </c:numRef>
          </c:bubbleSize>
          <c:bubble3D val="1"/>
        </c:ser>
        <c:ser>
          <c:idx val="6"/>
          <c:order val="5"/>
          <c:tx>
            <c:v>Other</c:v>
          </c:tx>
          <c:spPr>
            <a:solidFill>
              <a:srgbClr val="FF00FF"/>
            </a:solidFill>
            <a:ln w="25400">
              <a:noFill/>
            </a:ln>
          </c:spPr>
          <c:invertIfNegative val="0"/>
          <c:xVal>
            <c:numRef>
              <c:f>'Rel. prod. cf employment2'!$B$47</c:f>
              <c:numCache>
                <c:formatCode>#,##0.0_ ;\-#,##0.0\ </c:formatCode>
                <c:ptCount val="1"/>
                <c:pt idx="0">
                  <c:v>5.0435151786143493</c:v>
                </c:pt>
              </c:numCache>
            </c:numRef>
          </c:xVal>
          <c:yVal>
            <c:numRef>
              <c:f>'Rel. prod. cf employment2'!$C$47</c:f>
              <c:numCache>
                <c:formatCode>#,##0.0_ ;\-#,##0.0\ </c:formatCode>
                <c:ptCount val="1"/>
                <c:pt idx="0">
                  <c:v>0.89107663111177393</c:v>
                </c:pt>
              </c:numCache>
            </c:numRef>
          </c:yVal>
          <c:bubbleSize>
            <c:numRef>
              <c:f>'Rel. prod. cf employment2'!$E$47</c:f>
              <c:numCache>
                <c:formatCode>#,##0_ ;\-#,##0\ </c:formatCode>
                <c:ptCount val="1"/>
                <c:pt idx="0">
                  <c:v>6944</c:v>
                </c:pt>
              </c:numCache>
            </c:numRef>
          </c:bubbleSize>
          <c:bubble3D val="1"/>
        </c:ser>
        <c:ser>
          <c:idx val="0"/>
          <c:order val="6"/>
          <c:tx>
            <c:v>Agriculture</c:v>
          </c:tx>
          <c:spPr>
            <a:solidFill>
              <a:srgbClr val="13CF44"/>
            </a:solidFill>
          </c:spPr>
          <c:invertIfNegative val="0"/>
          <c:xVal>
            <c:numRef>
              <c:f>'Rel. prod. cf employment2'!$B$41</c:f>
              <c:numCache>
                <c:formatCode>#,##0.0_ ;\-#,##0.0\ </c:formatCode>
                <c:ptCount val="1"/>
                <c:pt idx="0">
                  <c:v>-2.3029539590597965</c:v>
                </c:pt>
              </c:numCache>
            </c:numRef>
          </c:xVal>
          <c:yVal>
            <c:numRef>
              <c:f>'Rel. prod. cf employment2'!$C$41</c:f>
              <c:numCache>
                <c:formatCode>#,##0.0_ ;\-#,##0.0\ </c:formatCode>
                <c:ptCount val="1"/>
                <c:pt idx="0">
                  <c:v>0.6387426883341818</c:v>
                </c:pt>
              </c:numCache>
            </c:numRef>
          </c:yVal>
          <c:bubbleSize>
            <c:numRef>
              <c:f>'Rel. prod. cf employment2'!$E$41</c:f>
              <c:numCache>
                <c:formatCode>#,##0_ ;\-#,##0\ </c:formatCode>
                <c:ptCount val="1"/>
                <c:pt idx="0">
                  <c:v>569</c:v>
                </c:pt>
              </c:numCache>
            </c:numRef>
          </c:bubbleSize>
          <c:bubble3D val="1"/>
        </c:ser>
        <c:dLbls>
          <c:showLegendKey val="0"/>
          <c:showVal val="0"/>
          <c:showCatName val="0"/>
          <c:showSerName val="0"/>
          <c:showPercent val="0"/>
          <c:showBubbleSize val="0"/>
        </c:dLbls>
        <c:bubbleScale val="100"/>
        <c:showNegBubbles val="0"/>
        <c:axId val="644512384"/>
        <c:axId val="644535040"/>
      </c:bubbleChart>
      <c:valAx>
        <c:axId val="644512384"/>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644535040"/>
        <c:crosses val="autoZero"/>
        <c:crossBetween val="midCat"/>
      </c:valAx>
      <c:valAx>
        <c:axId val="64453504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64451238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employment1'!$B$22</c:f>
              <c:numCache>
                <c:formatCode>0.0</c:formatCode>
                <c:ptCount val="1"/>
                <c:pt idx="0">
                  <c:v>-4.3670264976862647</c:v>
                </c:pt>
              </c:numCache>
            </c:numRef>
          </c:xVal>
          <c:yVal>
            <c:numRef>
              <c:f>'Rel. prod. cf employment1'!$C$22</c:f>
              <c:numCache>
                <c:formatCode>0.0</c:formatCode>
                <c:ptCount val="1"/>
                <c:pt idx="0">
                  <c:v>0.20061074936114304</c:v>
                </c:pt>
              </c:numCache>
            </c:numRef>
          </c:yVal>
          <c:bubbleSize>
            <c:numRef>
              <c:f>'Rel. prod. cf employment1'!$E$22</c:f>
              <c:numCache>
                <c:formatCode>#,##0</c:formatCode>
                <c:ptCount val="1"/>
                <c:pt idx="0">
                  <c:v>2006.2849872773538</c:v>
                </c:pt>
              </c:numCache>
            </c:numRef>
          </c:bubbleSize>
          <c:bubble3D val="1"/>
        </c:ser>
        <c:ser>
          <c:idx val="1"/>
          <c:order val="1"/>
          <c:tx>
            <c:v>Mining</c:v>
          </c:tx>
          <c:spPr>
            <a:solidFill>
              <a:srgbClr val="FF0000"/>
            </a:solidFill>
            <a:ln w="25400">
              <a:noFill/>
            </a:ln>
          </c:spPr>
          <c:invertIfNegative val="0"/>
          <c:xVal>
            <c:numRef>
              <c:f>'Rel. prod. cf employment1'!$B$23</c:f>
              <c:numCache>
                <c:formatCode>0.0</c:formatCode>
                <c:ptCount val="1"/>
                <c:pt idx="0">
                  <c:v>-1.0398701857998374</c:v>
                </c:pt>
              </c:numCache>
            </c:numRef>
          </c:xVal>
          <c:yVal>
            <c:numRef>
              <c:f>'Rel. prod. cf employment1'!$C$23</c:f>
              <c:numCache>
                <c:formatCode>0.0</c:formatCode>
                <c:ptCount val="1"/>
                <c:pt idx="0">
                  <c:v>3.325301013873895</c:v>
                </c:pt>
              </c:numCache>
            </c:numRef>
          </c:yVal>
          <c:bubbleSize>
            <c:numRef>
              <c:f>'Rel. prod. cf employment1'!$E$23</c:f>
              <c:numCache>
                <c:formatCode>#,##0</c:formatCode>
                <c:ptCount val="1"/>
                <c:pt idx="0">
                  <c:v>343</c:v>
                </c:pt>
              </c:numCache>
            </c:numRef>
          </c:bubbleSize>
          <c:bubble3D val="1"/>
        </c:ser>
        <c:ser>
          <c:idx val="2"/>
          <c:order val="2"/>
          <c:tx>
            <c:v>Manufacturing</c:v>
          </c:tx>
          <c:spPr>
            <a:solidFill>
              <a:srgbClr val="00B050"/>
            </a:solidFill>
            <a:ln w="25400">
              <a:noFill/>
            </a:ln>
          </c:spPr>
          <c:invertIfNegative val="0"/>
          <c:xVal>
            <c:numRef>
              <c:f>'Rel. prod. cf employment1'!$B$24</c:f>
              <c:numCache>
                <c:formatCode>0.0</c:formatCode>
                <c:ptCount val="1"/>
                <c:pt idx="0">
                  <c:v>-0.37042477654559214</c:v>
                </c:pt>
              </c:numCache>
            </c:numRef>
          </c:xVal>
          <c:yVal>
            <c:numRef>
              <c:f>'Rel. prod. cf employment1'!$C$24</c:f>
              <c:numCache>
                <c:formatCode>0.0</c:formatCode>
                <c:ptCount val="1"/>
                <c:pt idx="0">
                  <c:v>1.499022469197</c:v>
                </c:pt>
              </c:numCache>
            </c:numRef>
          </c:yVal>
          <c:bubbleSize>
            <c:numRef>
              <c:f>'Rel. prod. cf employment1'!$E$24</c:f>
              <c:numCache>
                <c:formatCode>#,##0</c:formatCode>
                <c:ptCount val="1"/>
                <c:pt idx="0">
                  <c:v>1860</c:v>
                </c:pt>
              </c:numCache>
            </c:numRef>
          </c:bubbleSize>
          <c:bubble3D val="1"/>
        </c:ser>
        <c:ser>
          <c:idx val="3"/>
          <c:order val="3"/>
          <c:tx>
            <c:v>Utilities</c:v>
          </c:tx>
          <c:spPr>
            <a:solidFill>
              <a:srgbClr val="FFFF00"/>
            </a:solidFill>
            <a:ln w="25400">
              <a:noFill/>
            </a:ln>
          </c:spPr>
          <c:invertIfNegative val="0"/>
          <c:xVal>
            <c:numRef>
              <c:f>'Rel. prod. cf employment1'!$B$25</c:f>
              <c:numCache>
                <c:formatCode>0.0</c:formatCode>
                <c:ptCount val="1"/>
                <c:pt idx="0">
                  <c:v>0.11452052252510603</c:v>
                </c:pt>
              </c:numCache>
            </c:numRef>
          </c:xVal>
          <c:yVal>
            <c:numRef>
              <c:f>'Rel. prod. cf employment1'!$C$25</c:f>
              <c:numCache>
                <c:formatCode>0.0</c:formatCode>
                <c:ptCount val="1"/>
                <c:pt idx="0">
                  <c:v>3.8195708783982285</c:v>
                </c:pt>
              </c:numCache>
            </c:numRef>
          </c:yVal>
          <c:bubbleSize>
            <c:numRef>
              <c:f>'Rel. prod. cf employment1'!$E$25</c:f>
              <c:numCache>
                <c:formatCode>#,##0</c:formatCode>
                <c:ptCount val="1"/>
                <c:pt idx="0">
                  <c:v>93</c:v>
                </c:pt>
              </c:numCache>
            </c:numRef>
          </c:bubbleSize>
          <c:bubble3D val="1"/>
        </c:ser>
        <c:ser>
          <c:idx val="5"/>
          <c:order val="4"/>
          <c:tx>
            <c:v>Trade services</c:v>
          </c:tx>
          <c:spPr>
            <a:solidFill>
              <a:srgbClr val="66FFFF"/>
            </a:solidFill>
            <a:ln w="25400">
              <a:noFill/>
            </a:ln>
          </c:spPr>
          <c:invertIfNegative val="0"/>
          <c:xVal>
            <c:numRef>
              <c:f>'Rel. prod. cf employment1'!$B$27</c:f>
              <c:numCache>
                <c:formatCode>0.0</c:formatCode>
                <c:ptCount val="1"/>
                <c:pt idx="0">
                  <c:v>1.9217924920030711</c:v>
                </c:pt>
              </c:numCache>
            </c:numRef>
          </c:xVal>
          <c:yVal>
            <c:numRef>
              <c:f>'Rel. prod. cf employment1'!$C$27</c:f>
              <c:numCache>
                <c:formatCode>0.0</c:formatCode>
                <c:ptCount val="1"/>
                <c:pt idx="0">
                  <c:v>0.65991228616497166</c:v>
                </c:pt>
              </c:numCache>
            </c:numRef>
          </c:yVal>
          <c:bubbleSize>
            <c:numRef>
              <c:f>'Rel. prod. cf employment1'!$E$27</c:f>
              <c:numCache>
                <c:formatCode>#,##0</c:formatCode>
                <c:ptCount val="1"/>
                <c:pt idx="0">
                  <c:v>3179.9999999999995</c:v>
                </c:pt>
              </c:numCache>
            </c:numRef>
          </c:bubbleSize>
          <c:bubble3D val="1"/>
        </c:ser>
        <c:ser>
          <c:idx val="4"/>
          <c:order val="5"/>
          <c:tx>
            <c:v>Construction</c:v>
          </c:tx>
          <c:spPr>
            <a:solidFill>
              <a:srgbClr val="6600FF"/>
            </a:solidFill>
            <a:ln w="25400">
              <a:noFill/>
            </a:ln>
          </c:spPr>
          <c:invertIfNegative val="0"/>
          <c:xVal>
            <c:numRef>
              <c:f>'Rel. prod. cf employment1'!$B$26</c:f>
              <c:numCache>
                <c:formatCode>0.0</c:formatCode>
                <c:ptCount val="1"/>
                <c:pt idx="0">
                  <c:v>1.6495943657355951</c:v>
                </c:pt>
              </c:numCache>
            </c:numRef>
          </c:xVal>
          <c:yVal>
            <c:numRef>
              <c:f>'Rel. prod. cf employment1'!$C$26</c:f>
              <c:numCache>
                <c:formatCode>0.0</c:formatCode>
                <c:ptCount val="1"/>
                <c:pt idx="0">
                  <c:v>0.44281967190896632</c:v>
                </c:pt>
              </c:numCache>
            </c:numRef>
          </c:yVal>
          <c:bubbleSize>
            <c:numRef>
              <c:f>'Rel. prod. cf employment1'!$E$26</c:f>
              <c:numCache>
                <c:formatCode>#,##0</c:formatCode>
                <c:ptCount val="1"/>
                <c:pt idx="0">
                  <c:v>937.00000000000011</c:v>
                </c:pt>
              </c:numCache>
            </c:numRef>
          </c:bubbleSize>
          <c:bubble3D val="1"/>
        </c:ser>
        <c:ser>
          <c:idx val="6"/>
          <c:order val="6"/>
          <c:tx>
            <c:v>Transport services</c:v>
          </c:tx>
          <c:spPr>
            <a:solidFill>
              <a:srgbClr val="FF00FF"/>
            </a:solidFill>
            <a:ln w="25400">
              <a:noFill/>
            </a:ln>
          </c:spPr>
          <c:invertIfNegative val="0"/>
          <c:xVal>
            <c:numRef>
              <c:f>'Rel. prod. cf employment1'!$B$28</c:f>
              <c:numCache>
                <c:formatCode>0.0</c:formatCode>
                <c:ptCount val="1"/>
                <c:pt idx="0">
                  <c:v>-0.32033154363127192</c:v>
                </c:pt>
              </c:numCache>
            </c:numRef>
          </c:xVal>
          <c:yVal>
            <c:numRef>
              <c:f>'Rel. prod. cf employment1'!$C$28</c:f>
              <c:numCache>
                <c:formatCode>0.0</c:formatCode>
                <c:ptCount val="1"/>
                <c:pt idx="0">
                  <c:v>2.128873761801477</c:v>
                </c:pt>
              </c:numCache>
            </c:numRef>
          </c:yVal>
          <c:bubbleSize>
            <c:numRef>
              <c:f>'Rel. prod. cf employment1'!$E$28</c:f>
              <c:numCache>
                <c:formatCode>#,##0</c:formatCode>
                <c:ptCount val="1"/>
                <c:pt idx="0">
                  <c:v>705</c:v>
                </c:pt>
              </c:numCache>
            </c:numRef>
          </c:bubbleSize>
          <c:bubble3D val="1"/>
        </c:ser>
        <c:ser>
          <c:idx val="7"/>
          <c:order val="7"/>
          <c:tx>
            <c:v>Business services</c:v>
          </c:tx>
          <c:spPr>
            <a:solidFill>
              <a:srgbClr val="99FF66"/>
            </a:solidFill>
            <a:ln w="25400">
              <a:noFill/>
            </a:ln>
          </c:spPr>
          <c:invertIfNegative val="0"/>
          <c:xVal>
            <c:numRef>
              <c:f>'Rel. prod. cf employment1'!$B$29</c:f>
              <c:numCache>
                <c:formatCode>0.0</c:formatCode>
                <c:ptCount val="1"/>
                <c:pt idx="0">
                  <c:v>1.9620809750062049</c:v>
                </c:pt>
              </c:numCache>
            </c:numRef>
          </c:xVal>
          <c:yVal>
            <c:numRef>
              <c:f>'Rel. prod. cf employment1'!$C$29</c:f>
              <c:numCache>
                <c:formatCode>0.0</c:formatCode>
                <c:ptCount val="1"/>
                <c:pt idx="0">
                  <c:v>1.5981606153638617</c:v>
                </c:pt>
              </c:numCache>
            </c:numRef>
          </c:yVal>
          <c:bubbleSize>
            <c:numRef>
              <c:f>'Rel. prod. cf employment1'!$E$29</c:f>
              <c:numCache>
                <c:formatCode>#,##0</c:formatCode>
                <c:ptCount val="1"/>
                <c:pt idx="0">
                  <c:v>1338</c:v>
                </c:pt>
              </c:numCache>
            </c:numRef>
          </c:bubbleSize>
          <c:bubble3D val="1"/>
        </c:ser>
        <c:ser>
          <c:idx val="8"/>
          <c:order val="8"/>
          <c:tx>
            <c:v>Govt services</c:v>
          </c:tx>
          <c:spPr>
            <a:solidFill>
              <a:srgbClr val="984807"/>
            </a:solidFill>
            <a:ln w="25400">
              <a:noFill/>
            </a:ln>
          </c:spPr>
          <c:invertIfNegative val="0"/>
          <c:xVal>
            <c:numRef>
              <c:f>'Rel. prod. cf employment1'!$B$30</c:f>
              <c:numCache>
                <c:formatCode>0.0</c:formatCode>
                <c:ptCount val="1"/>
                <c:pt idx="0">
                  <c:v>0.26275715800248101</c:v>
                </c:pt>
              </c:numCache>
            </c:numRef>
          </c:xVal>
          <c:yVal>
            <c:numRef>
              <c:f>'Rel. prod. cf employment1'!$C$30</c:f>
              <c:numCache>
                <c:formatCode>0.0</c:formatCode>
                <c:ptCount val="1"/>
                <c:pt idx="0">
                  <c:v>1.0749450689286864</c:v>
                </c:pt>
              </c:numCache>
            </c:numRef>
          </c:yVal>
          <c:bubbleSize>
            <c:numRef>
              <c:f>'Rel. prod. cf employment1'!$E$30</c:f>
              <c:numCache>
                <c:formatCode>#,##0</c:formatCode>
                <c:ptCount val="1"/>
                <c:pt idx="0">
                  <c:v>2087.8477525374578</c:v>
                </c:pt>
              </c:numCache>
            </c:numRef>
          </c:bubbleSize>
          <c:bubble3D val="1"/>
        </c:ser>
        <c:ser>
          <c:idx val="9"/>
          <c:order val="9"/>
          <c:tx>
            <c:v>Personal services</c:v>
          </c:tx>
          <c:spPr>
            <a:solidFill>
              <a:srgbClr val="9999FF"/>
            </a:solidFill>
            <a:ln w="25400">
              <a:noFill/>
            </a:ln>
          </c:spPr>
          <c:invertIfNegative val="0"/>
          <c:xVal>
            <c:numRef>
              <c:f>'Rel. prod. cf employment1'!$B$31</c:f>
              <c:numCache>
                <c:formatCode>0.0</c:formatCode>
                <c:ptCount val="1"/>
                <c:pt idx="0">
                  <c:v>0.18690749039051369</c:v>
                </c:pt>
              </c:numCache>
            </c:numRef>
          </c:xVal>
          <c:yVal>
            <c:numRef>
              <c:f>'Rel. prod. cf employment1'!$C$31</c:f>
              <c:numCache>
                <c:formatCode>0.0</c:formatCode>
                <c:ptCount val="1"/>
                <c:pt idx="0">
                  <c:v>0.64091938570174112</c:v>
                </c:pt>
              </c:numCache>
            </c:numRef>
          </c:yVal>
          <c:bubbleSize>
            <c:numRef>
              <c:f>'Rel. prod. cf employment1'!$E$31</c:f>
              <c:numCache>
                <c:formatCode>#,##0</c:formatCode>
                <c:ptCount val="1"/>
                <c:pt idx="0">
                  <c:v>1485.1522474625424</c:v>
                </c:pt>
              </c:numCache>
            </c:numRef>
          </c:bubbleSize>
          <c:bubble3D val="1"/>
        </c:ser>
        <c:dLbls>
          <c:showLegendKey val="0"/>
          <c:showVal val="0"/>
          <c:showCatName val="0"/>
          <c:showSerName val="0"/>
          <c:showPercent val="0"/>
          <c:showBubbleSize val="0"/>
        </c:dLbls>
        <c:bubbleScale val="100"/>
        <c:showNegBubbles val="0"/>
        <c:axId val="548526336"/>
        <c:axId val="548726272"/>
      </c:bubbleChart>
      <c:valAx>
        <c:axId val="548526336"/>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548726272"/>
        <c:crosses val="autoZero"/>
        <c:crossBetween val="midCat"/>
      </c:valAx>
      <c:valAx>
        <c:axId val="548726272"/>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5485263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employment2'!$B$58</c:f>
              <c:numCache>
                <c:formatCode>#,##0.0_ ;\-#,##0.0\ </c:formatCode>
                <c:ptCount val="1"/>
                <c:pt idx="0">
                  <c:v>0.12274816021714585</c:v>
                </c:pt>
              </c:numCache>
            </c:numRef>
          </c:xVal>
          <c:yVal>
            <c:numRef>
              <c:f>'Rel. prod. cf employment2'!$C$58</c:f>
              <c:numCache>
                <c:formatCode>#,##0.0_ ;\-#,##0.0\ </c:formatCode>
                <c:ptCount val="1"/>
                <c:pt idx="0">
                  <c:v>0.59496606752657732</c:v>
                </c:pt>
              </c:numCache>
            </c:numRef>
          </c:yVal>
          <c:bubbleSize>
            <c:numRef>
              <c:f>'Rel. prod. cf employment2'!$E$58</c:f>
              <c:numCache>
                <c:formatCode>#,##0_ ;\-#,##0\ </c:formatCode>
                <c:ptCount val="1"/>
                <c:pt idx="0">
                  <c:v>614</c:v>
                </c:pt>
              </c:numCache>
            </c:numRef>
          </c:bubbleSize>
          <c:bubble3D val="1"/>
        </c:ser>
        <c:ser>
          <c:idx val="1"/>
          <c:order val="1"/>
          <c:tx>
            <c:v>Mining &amp; utilities</c:v>
          </c:tx>
          <c:spPr>
            <a:solidFill>
              <a:srgbClr val="000000"/>
            </a:solidFill>
            <a:ln w="25400">
              <a:noFill/>
            </a:ln>
          </c:spPr>
          <c:invertIfNegative val="0"/>
          <c:xVal>
            <c:numRef>
              <c:f>'Rel. prod. cf employment2'!$B$59</c:f>
              <c:numCache>
                <c:formatCode>#,##0.0_ ;\-#,##0.0\ </c:formatCode>
                <c:ptCount val="1"/>
                <c:pt idx="0">
                  <c:v>0.45942270235596805</c:v>
                </c:pt>
              </c:numCache>
            </c:numRef>
          </c:xVal>
          <c:yVal>
            <c:numRef>
              <c:f>'Rel. prod. cf employment2'!$C$59</c:f>
              <c:numCache>
                <c:formatCode>#,##0.0_ ;\-#,##0.0\ </c:formatCode>
                <c:ptCount val="1"/>
                <c:pt idx="0">
                  <c:v>2.1631404924946458</c:v>
                </c:pt>
              </c:numCache>
            </c:numRef>
          </c:yVal>
          <c:bubbleSize>
            <c:numRef>
              <c:f>'Rel. prod. cf employment2'!$E$59</c:f>
              <c:numCache>
                <c:formatCode>#,##0_ ;\-#,##0\ </c:formatCode>
                <c:ptCount val="1"/>
                <c:pt idx="0">
                  <c:v>436</c:v>
                </c:pt>
              </c:numCache>
            </c:numRef>
          </c:bubbleSize>
          <c:bubble3D val="1"/>
        </c:ser>
        <c:ser>
          <c:idx val="2"/>
          <c:order val="2"/>
          <c:tx>
            <c:v>Manufacturing</c:v>
          </c:tx>
          <c:spPr>
            <a:solidFill>
              <a:srgbClr val="CC6600"/>
            </a:solidFill>
            <a:ln w="25400">
              <a:noFill/>
            </a:ln>
          </c:spPr>
          <c:invertIfNegative val="0"/>
          <c:xVal>
            <c:numRef>
              <c:f>'Rel. prod. cf employment2'!$B$60</c:f>
              <c:numCache>
                <c:formatCode>#,##0.0_ ;\-#,##0.0\ </c:formatCode>
                <c:ptCount val="1"/>
                <c:pt idx="0">
                  <c:v>-0.97348376689048521</c:v>
                </c:pt>
              </c:numCache>
            </c:numRef>
          </c:xVal>
          <c:yVal>
            <c:numRef>
              <c:f>'Rel. prod. cf employment2'!$C$60</c:f>
              <c:numCache>
                <c:formatCode>#,##0.0_ ;\-#,##0.0\ </c:formatCode>
                <c:ptCount val="1"/>
                <c:pt idx="0">
                  <c:v>1.6375167803330679</c:v>
                </c:pt>
              </c:numCache>
            </c:numRef>
          </c:yVal>
          <c:bubbleSize>
            <c:numRef>
              <c:f>'Rel. prod. cf employment2'!$E$60</c:f>
              <c:numCache>
                <c:formatCode>#,##0_ ;\-#,##0\ </c:formatCode>
                <c:ptCount val="1"/>
                <c:pt idx="0">
                  <c:v>1480</c:v>
                </c:pt>
              </c:numCache>
            </c:numRef>
          </c:bubbleSize>
          <c:bubble3D val="1"/>
        </c:ser>
        <c:ser>
          <c:idx val="3"/>
          <c:order val="3"/>
          <c:tx>
            <c:v>Construction</c:v>
          </c:tx>
          <c:spPr>
            <a:solidFill>
              <a:srgbClr val="FFFF00"/>
            </a:solidFill>
            <a:ln w="25400">
              <a:noFill/>
            </a:ln>
          </c:spPr>
          <c:invertIfNegative val="0"/>
          <c:xVal>
            <c:numRef>
              <c:f>'Rel. prod. cf employment2'!$B$61</c:f>
              <c:numCache>
                <c:formatCode>#,##0.0_ ;\-#,##0.0\ </c:formatCode>
                <c:ptCount val="1"/>
                <c:pt idx="0">
                  <c:v>-0.35425680987480757</c:v>
                </c:pt>
              </c:numCache>
            </c:numRef>
          </c:xVal>
          <c:yVal>
            <c:numRef>
              <c:f>'Rel. prod. cf employment2'!$C$61</c:f>
              <c:numCache>
                <c:formatCode>#,##0.0_ ;\-#,##0.0\ </c:formatCode>
                <c:ptCount val="1"/>
                <c:pt idx="0">
                  <c:v>0.57961621070679947</c:v>
                </c:pt>
              </c:numCache>
            </c:numRef>
          </c:yVal>
          <c:bubbleSize>
            <c:numRef>
              <c:f>'Rel. prod. cf employment2'!$E$61</c:f>
              <c:numCache>
                <c:formatCode>#,##0_ ;\-#,##0\ </c:formatCode>
                <c:ptCount val="1"/>
                <c:pt idx="0">
                  <c:v>938</c:v>
                </c:pt>
              </c:numCache>
            </c:numRef>
          </c:bubbleSize>
          <c:bubble3D val="1"/>
        </c:ser>
        <c:ser>
          <c:idx val="4"/>
          <c:order val="4"/>
          <c:tx>
            <c:v>Wholesale, retail, hotels</c:v>
          </c:tx>
          <c:spPr>
            <a:solidFill>
              <a:srgbClr val="6666FF"/>
            </a:solidFill>
            <a:ln w="25400">
              <a:noFill/>
            </a:ln>
          </c:spPr>
          <c:invertIfNegative val="0"/>
          <c:xVal>
            <c:numRef>
              <c:f>'Rel. prod. cf employment2'!$B$62</c:f>
              <c:numCache>
                <c:formatCode>#,##0.0_ ;\-#,##0.0\ </c:formatCode>
                <c:ptCount val="1"/>
                <c:pt idx="0">
                  <c:v>-1.1761662885950024</c:v>
                </c:pt>
              </c:numCache>
            </c:numRef>
          </c:xVal>
          <c:yVal>
            <c:numRef>
              <c:f>'Rel. prod. cf employment2'!$C$62</c:f>
              <c:numCache>
                <c:formatCode>#,##0.0_ ;\-#,##0.0\ </c:formatCode>
                <c:ptCount val="1"/>
                <c:pt idx="0">
                  <c:v>0.73261386324670275</c:v>
                </c:pt>
              </c:numCache>
            </c:numRef>
          </c:yVal>
          <c:bubbleSize>
            <c:numRef>
              <c:f>'Rel. prod. cf employment2'!$E$62</c:f>
              <c:numCache>
                <c:formatCode>#,##0_ ;\-#,##0\ </c:formatCode>
                <c:ptCount val="1"/>
                <c:pt idx="0">
                  <c:v>2899</c:v>
                </c:pt>
              </c:numCache>
            </c:numRef>
          </c:bubbleSize>
          <c:bubble3D val="1"/>
        </c:ser>
        <c:ser>
          <c:idx val="5"/>
          <c:order val="5"/>
          <c:tx>
            <c:v>Transport, storage, comms</c:v>
          </c:tx>
          <c:spPr>
            <a:solidFill>
              <a:srgbClr val="66FFFF"/>
            </a:solidFill>
            <a:ln w="25400">
              <a:noFill/>
            </a:ln>
          </c:spPr>
          <c:invertIfNegative val="0"/>
          <c:xVal>
            <c:numRef>
              <c:f>'Rel. prod. cf employment2'!$B$63</c:f>
              <c:numCache>
                <c:formatCode>#,##0.0_ ;\-#,##0.0\ </c:formatCode>
                <c:ptCount val="1"/>
                <c:pt idx="0">
                  <c:v>0.12447806000383554</c:v>
                </c:pt>
              </c:numCache>
            </c:numRef>
          </c:xVal>
          <c:yVal>
            <c:numRef>
              <c:f>'Rel. prod. cf employment2'!$C$63</c:f>
              <c:numCache>
                <c:formatCode>#,##0.0_ ;\-#,##0.0\ </c:formatCode>
                <c:ptCount val="1"/>
                <c:pt idx="0">
                  <c:v>2.1810638097476227</c:v>
                </c:pt>
              </c:numCache>
            </c:numRef>
          </c:yVal>
          <c:bubbleSize>
            <c:numRef>
              <c:f>'Rel. prod. cf employment2'!$E$63</c:f>
              <c:numCache>
                <c:formatCode>#,##0_ ;\-#,##0\ </c:formatCode>
                <c:ptCount val="1"/>
                <c:pt idx="0">
                  <c:v>741</c:v>
                </c:pt>
              </c:numCache>
            </c:numRef>
          </c:bubbleSize>
          <c:bubble3D val="1"/>
        </c:ser>
        <c:ser>
          <c:idx val="6"/>
          <c:order val="6"/>
          <c:tx>
            <c:v>Other</c:v>
          </c:tx>
          <c:spPr>
            <a:solidFill>
              <a:srgbClr val="FF00FF"/>
            </a:solidFill>
            <a:ln w="25400">
              <a:noFill/>
            </a:ln>
          </c:spPr>
          <c:invertIfNegative val="0"/>
          <c:xVal>
            <c:numRef>
              <c:f>'Rel. prod. cf employment2'!$B$64</c:f>
              <c:numCache>
                <c:formatCode>#,##0.0_ ;\-#,##0.0\ </c:formatCode>
                <c:ptCount val="1"/>
                <c:pt idx="0">
                  <c:v>1.7972579427833324</c:v>
                </c:pt>
              </c:numCache>
            </c:numRef>
          </c:xVal>
          <c:yVal>
            <c:numRef>
              <c:f>'Rel. prod. cf employment2'!$C$64</c:f>
              <c:numCache>
                <c:formatCode>#,##0.0_ ;\-#,##0.0\ </c:formatCode>
                <c:ptCount val="1"/>
                <c:pt idx="0">
                  <c:v>0.87957288930607935</c:v>
                </c:pt>
              </c:numCache>
            </c:numRef>
          </c:yVal>
          <c:bubbleSize>
            <c:numRef>
              <c:f>'Rel. prod. cf employment2'!$E$64</c:f>
              <c:numCache>
                <c:formatCode>#,##0_ ;\-#,##0\ </c:formatCode>
                <c:ptCount val="1"/>
                <c:pt idx="0">
                  <c:v>7537</c:v>
                </c:pt>
              </c:numCache>
            </c:numRef>
          </c:bubbleSize>
          <c:bubble3D val="1"/>
        </c:ser>
        <c:dLbls>
          <c:showLegendKey val="0"/>
          <c:showVal val="0"/>
          <c:showCatName val="0"/>
          <c:showSerName val="0"/>
          <c:showPercent val="0"/>
          <c:showBubbleSize val="0"/>
        </c:dLbls>
        <c:bubbleScale val="100"/>
        <c:showNegBubbles val="0"/>
        <c:axId val="644634880"/>
        <c:axId val="644657536"/>
      </c:bubbleChart>
      <c:valAx>
        <c:axId val="644634880"/>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644657536"/>
        <c:crosses val="autoZero"/>
        <c:crossBetween val="midCat"/>
      </c:valAx>
      <c:valAx>
        <c:axId val="64465753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64463488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change2'!$B$4</c:f>
              <c:strCache>
                <c:ptCount val="1"/>
                <c:pt idx="0">
                  <c:v>Within sector</c:v>
                </c:pt>
              </c:strCache>
            </c:strRef>
          </c:tx>
          <c:invertIfNegative val="0"/>
          <c:cat>
            <c:strRef>
              <c:f>'Decomp. of prod change2'!$A$5:$A$8</c:f>
              <c:strCache>
                <c:ptCount val="4"/>
                <c:pt idx="0">
                  <c:v>1991-2000</c:v>
                </c:pt>
                <c:pt idx="1">
                  <c:v>2000-05</c:v>
                </c:pt>
                <c:pt idx="2">
                  <c:v>2005-10</c:v>
                </c:pt>
                <c:pt idx="3">
                  <c:v>2010-13</c:v>
                </c:pt>
              </c:strCache>
            </c:strRef>
          </c:cat>
          <c:val>
            <c:numRef>
              <c:f>'Decomp. of prod change2'!$B$5:$B$8</c:f>
              <c:numCache>
                <c:formatCode>0.00%</c:formatCode>
                <c:ptCount val="4"/>
                <c:pt idx="0">
                  <c:v>-1.2905849784926884E-2</c:v>
                </c:pt>
                <c:pt idx="1">
                  <c:v>2.6466958200844076E-2</c:v>
                </c:pt>
                <c:pt idx="2">
                  <c:v>3.5489261224881392E-2</c:v>
                </c:pt>
                <c:pt idx="3">
                  <c:v>1.259682033286288E-2</c:v>
                </c:pt>
              </c:numCache>
            </c:numRef>
          </c:val>
        </c:ser>
        <c:ser>
          <c:idx val="1"/>
          <c:order val="1"/>
          <c:tx>
            <c:strRef>
              <c:f>'Decomp. of prod change2'!$C$4</c:f>
              <c:strCache>
                <c:ptCount val="1"/>
                <c:pt idx="0">
                  <c:v>Structural change</c:v>
                </c:pt>
              </c:strCache>
            </c:strRef>
          </c:tx>
          <c:spPr>
            <a:solidFill>
              <a:schemeClr val="accent6"/>
            </a:solidFill>
          </c:spPr>
          <c:invertIfNegative val="0"/>
          <c:cat>
            <c:strRef>
              <c:f>'Decomp. of prod change2'!$A$5:$A$8</c:f>
              <c:strCache>
                <c:ptCount val="4"/>
                <c:pt idx="0">
                  <c:v>1991-2000</c:v>
                </c:pt>
                <c:pt idx="1">
                  <c:v>2000-05</c:v>
                </c:pt>
                <c:pt idx="2">
                  <c:v>2005-10</c:v>
                </c:pt>
                <c:pt idx="3">
                  <c:v>2010-13</c:v>
                </c:pt>
              </c:strCache>
            </c:strRef>
          </c:cat>
          <c:val>
            <c:numRef>
              <c:f>'Decomp. of prod change2'!$C$5:$C$8</c:f>
              <c:numCache>
                <c:formatCode>0.00%</c:formatCode>
                <c:ptCount val="4"/>
                <c:pt idx="0">
                  <c:v>1.6097964924222802E-3</c:v>
                </c:pt>
                <c:pt idx="1">
                  <c:v>-8.1074790452979328E-3</c:v>
                </c:pt>
                <c:pt idx="2">
                  <c:v>-7.7474188433301963E-3</c:v>
                </c:pt>
                <c:pt idx="3">
                  <c:v>-2.8925853836035634E-3</c:v>
                </c:pt>
              </c:numCache>
            </c:numRef>
          </c:val>
        </c:ser>
        <c:dLbls>
          <c:showLegendKey val="0"/>
          <c:showVal val="0"/>
          <c:showCatName val="0"/>
          <c:showSerName val="0"/>
          <c:showPercent val="0"/>
          <c:showBubbleSize val="0"/>
        </c:dLbls>
        <c:gapWidth val="150"/>
        <c:overlap val="100"/>
        <c:axId val="622213760"/>
        <c:axId val="643854720"/>
      </c:barChart>
      <c:catAx>
        <c:axId val="622213760"/>
        <c:scaling>
          <c:orientation val="minMax"/>
        </c:scaling>
        <c:delete val="0"/>
        <c:axPos val="b"/>
        <c:majorTickMark val="out"/>
        <c:minorTickMark val="none"/>
        <c:tickLblPos val="low"/>
        <c:crossAx val="643854720"/>
        <c:crosses val="autoZero"/>
        <c:auto val="1"/>
        <c:lblAlgn val="ctr"/>
        <c:lblOffset val="100"/>
        <c:noMultiLvlLbl val="0"/>
      </c:catAx>
      <c:valAx>
        <c:axId val="64385472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62221376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Construction</c:v>
                </c:pt>
              </c:strCache>
            </c:strRef>
          </c:tx>
          <c:spPr>
            <a:solidFill>
              <a:srgbClr val="13CF44"/>
            </a:solidFill>
            <a:ln w="3175">
              <a:solidFill>
                <a:schemeClr val="bg1">
                  <a:lumMod val="50000"/>
                </a:schemeClr>
              </a:solidFill>
            </a:ln>
          </c:spPr>
          <c:cat>
            <c:numRef>
              <c:f>'Productivity gaps2'!$H$6:$H$27</c:f>
              <c:numCache>
                <c:formatCode>0.00</c:formatCode>
                <c:ptCount val="22"/>
                <c:pt idx="0">
                  <c:v>0</c:v>
                </c:pt>
                <c:pt idx="1">
                  <c:v>0</c:v>
                </c:pt>
                <c:pt idx="2">
                  <c:v>3.202458176852168</c:v>
                </c:pt>
                <c:pt idx="3">
                  <c:v>6.4049163537043361</c:v>
                </c:pt>
                <c:pt idx="4">
                  <c:v>6.4049163537043361</c:v>
                </c:pt>
                <c:pt idx="5">
                  <c:v>8.5011949470809149</c:v>
                </c:pt>
                <c:pt idx="6">
                  <c:v>10.597473540457495</c:v>
                </c:pt>
                <c:pt idx="7">
                  <c:v>10.597473540457495</c:v>
                </c:pt>
                <c:pt idx="8">
                  <c:v>20.495049504950494</c:v>
                </c:pt>
                <c:pt idx="9">
                  <c:v>30.392625469443495</c:v>
                </c:pt>
                <c:pt idx="10">
                  <c:v>30.392625469443495</c:v>
                </c:pt>
                <c:pt idx="11">
                  <c:v>56.124957323318526</c:v>
                </c:pt>
                <c:pt idx="12">
                  <c:v>81.857289177193564</c:v>
                </c:pt>
                <c:pt idx="13">
                  <c:v>81.857289177193564</c:v>
                </c:pt>
                <c:pt idx="14">
                  <c:v>86.910208262205515</c:v>
                </c:pt>
                <c:pt idx="15">
                  <c:v>91.963127347217466</c:v>
                </c:pt>
                <c:pt idx="16">
                  <c:v>91.963127347217466</c:v>
                </c:pt>
                <c:pt idx="17">
                  <c:v>93.451689996585856</c:v>
                </c:pt>
                <c:pt idx="18">
                  <c:v>94.940252645954232</c:v>
                </c:pt>
                <c:pt idx="19">
                  <c:v>94.940252645954232</c:v>
                </c:pt>
                <c:pt idx="20">
                  <c:v>97.470126322977109</c:v>
                </c:pt>
                <c:pt idx="21">
                  <c:v>99.999999999999986</c:v>
                </c:pt>
              </c:numCache>
            </c:numRef>
          </c:cat>
          <c:val>
            <c:numRef>
              <c:f>'Productivity gaps2'!$I$6:$I$27</c:f>
              <c:numCache>
                <c:formatCode>#,##0.0</c:formatCode>
                <c:ptCount val="22"/>
                <c:pt idx="0" formatCode="General">
                  <c:v>0</c:v>
                </c:pt>
                <c:pt idx="1">
                  <c:v>0.57961621070679947</c:v>
                </c:pt>
                <c:pt idx="2">
                  <c:v>0.57961621070679947</c:v>
                </c:pt>
                <c:pt idx="3">
                  <c:v>0.57961621070679947</c:v>
                </c:pt>
                <c:pt idx="4" formatCode="General">
                  <c:v>0</c:v>
                </c:pt>
              </c:numCache>
            </c:numRef>
          </c:val>
        </c:ser>
        <c:ser>
          <c:idx val="1"/>
          <c:order val="1"/>
          <c:tx>
            <c:strRef>
              <c:f>'Productivity gaps2'!$J$5</c:f>
              <c:strCache>
                <c:ptCount val="1"/>
                <c:pt idx="0">
                  <c:v>Agriculture</c:v>
                </c:pt>
              </c:strCache>
            </c:strRef>
          </c:tx>
          <c:spPr>
            <a:solidFill>
              <a:srgbClr val="6666FF"/>
            </a:solidFill>
            <a:ln w="3175">
              <a:solidFill>
                <a:schemeClr val="bg1">
                  <a:lumMod val="50000"/>
                </a:schemeClr>
              </a:solidFill>
            </a:ln>
          </c:spPr>
          <c:cat>
            <c:numRef>
              <c:f>'Productivity gaps2'!$H$6:$H$27</c:f>
              <c:numCache>
                <c:formatCode>0.00</c:formatCode>
                <c:ptCount val="22"/>
                <c:pt idx="0">
                  <c:v>0</c:v>
                </c:pt>
                <c:pt idx="1">
                  <c:v>0</c:v>
                </c:pt>
                <c:pt idx="2">
                  <c:v>3.202458176852168</c:v>
                </c:pt>
                <c:pt idx="3">
                  <c:v>6.4049163537043361</c:v>
                </c:pt>
                <c:pt idx="4">
                  <c:v>6.4049163537043361</c:v>
                </c:pt>
                <c:pt idx="5">
                  <c:v>8.5011949470809149</c:v>
                </c:pt>
                <c:pt idx="6">
                  <c:v>10.597473540457495</c:v>
                </c:pt>
                <c:pt idx="7">
                  <c:v>10.597473540457495</c:v>
                </c:pt>
                <c:pt idx="8">
                  <c:v>20.495049504950494</c:v>
                </c:pt>
                <c:pt idx="9">
                  <c:v>30.392625469443495</c:v>
                </c:pt>
                <c:pt idx="10">
                  <c:v>30.392625469443495</c:v>
                </c:pt>
                <c:pt idx="11">
                  <c:v>56.124957323318526</c:v>
                </c:pt>
                <c:pt idx="12">
                  <c:v>81.857289177193564</c:v>
                </c:pt>
                <c:pt idx="13">
                  <c:v>81.857289177193564</c:v>
                </c:pt>
                <c:pt idx="14">
                  <c:v>86.910208262205515</c:v>
                </c:pt>
                <c:pt idx="15">
                  <c:v>91.963127347217466</c:v>
                </c:pt>
                <c:pt idx="16">
                  <c:v>91.963127347217466</c:v>
                </c:pt>
                <c:pt idx="17">
                  <c:v>93.451689996585856</c:v>
                </c:pt>
                <c:pt idx="18">
                  <c:v>94.940252645954232</c:v>
                </c:pt>
                <c:pt idx="19">
                  <c:v>94.940252645954232</c:v>
                </c:pt>
                <c:pt idx="20">
                  <c:v>97.470126322977109</c:v>
                </c:pt>
                <c:pt idx="21">
                  <c:v>99.999999999999986</c:v>
                </c:pt>
              </c:numCache>
            </c:numRef>
          </c:cat>
          <c:val>
            <c:numRef>
              <c:f>'Productivity gaps2'!$J$6:$J$27</c:f>
              <c:numCache>
                <c:formatCode>General</c:formatCode>
                <c:ptCount val="22"/>
                <c:pt idx="3">
                  <c:v>0</c:v>
                </c:pt>
                <c:pt idx="4" formatCode="#,##0.000">
                  <c:v>0.59496606752657732</c:v>
                </c:pt>
                <c:pt idx="5" formatCode="#,##0.000">
                  <c:v>0.59496606752657732</c:v>
                </c:pt>
                <c:pt idx="6" formatCode="#,##0.000">
                  <c:v>0.59496606752657732</c:v>
                </c:pt>
                <c:pt idx="7">
                  <c:v>0</c:v>
                </c:pt>
              </c:numCache>
            </c:numRef>
          </c:val>
        </c:ser>
        <c:ser>
          <c:idx val="2"/>
          <c:order val="2"/>
          <c:tx>
            <c:strRef>
              <c:f>'Productivity gaps2'!$K$5</c:f>
              <c:strCache>
                <c:ptCount val="1"/>
                <c:pt idx="0">
                  <c:v>Wholesale, retail, hotels</c:v>
                </c:pt>
              </c:strCache>
            </c:strRef>
          </c:tx>
          <c:spPr>
            <a:solidFill>
              <a:srgbClr val="CC6600"/>
            </a:solidFill>
            <a:ln w="3175">
              <a:solidFill>
                <a:schemeClr val="bg1">
                  <a:lumMod val="50000"/>
                </a:schemeClr>
              </a:solidFill>
            </a:ln>
          </c:spPr>
          <c:cat>
            <c:numRef>
              <c:f>'Productivity gaps2'!$H$6:$H$27</c:f>
              <c:numCache>
                <c:formatCode>0.00</c:formatCode>
                <c:ptCount val="22"/>
                <c:pt idx="0">
                  <c:v>0</c:v>
                </c:pt>
                <c:pt idx="1">
                  <c:v>0</c:v>
                </c:pt>
                <c:pt idx="2">
                  <c:v>3.202458176852168</c:v>
                </c:pt>
                <c:pt idx="3">
                  <c:v>6.4049163537043361</c:v>
                </c:pt>
                <c:pt idx="4">
                  <c:v>6.4049163537043361</c:v>
                </c:pt>
                <c:pt idx="5">
                  <c:v>8.5011949470809149</c:v>
                </c:pt>
                <c:pt idx="6">
                  <c:v>10.597473540457495</c:v>
                </c:pt>
                <c:pt idx="7">
                  <c:v>10.597473540457495</c:v>
                </c:pt>
                <c:pt idx="8">
                  <c:v>20.495049504950494</c:v>
                </c:pt>
                <c:pt idx="9">
                  <c:v>30.392625469443495</c:v>
                </c:pt>
                <c:pt idx="10">
                  <c:v>30.392625469443495</c:v>
                </c:pt>
                <c:pt idx="11">
                  <c:v>56.124957323318526</c:v>
                </c:pt>
                <c:pt idx="12">
                  <c:v>81.857289177193564</c:v>
                </c:pt>
                <c:pt idx="13">
                  <c:v>81.857289177193564</c:v>
                </c:pt>
                <c:pt idx="14">
                  <c:v>86.910208262205515</c:v>
                </c:pt>
                <c:pt idx="15">
                  <c:v>91.963127347217466</c:v>
                </c:pt>
                <c:pt idx="16">
                  <c:v>91.963127347217466</c:v>
                </c:pt>
                <c:pt idx="17">
                  <c:v>93.451689996585856</c:v>
                </c:pt>
                <c:pt idx="18">
                  <c:v>94.940252645954232</c:v>
                </c:pt>
                <c:pt idx="19">
                  <c:v>94.940252645954232</c:v>
                </c:pt>
                <c:pt idx="20">
                  <c:v>97.470126322977109</c:v>
                </c:pt>
                <c:pt idx="21">
                  <c:v>99.999999999999986</c:v>
                </c:pt>
              </c:numCache>
            </c:numRef>
          </c:cat>
          <c:val>
            <c:numRef>
              <c:f>'Productivity gaps2'!$K$6:$K$27</c:f>
              <c:numCache>
                <c:formatCode>General</c:formatCode>
                <c:ptCount val="22"/>
                <c:pt idx="6">
                  <c:v>0</c:v>
                </c:pt>
                <c:pt idx="7" formatCode="#,##0.000">
                  <c:v>0.73261386324670275</c:v>
                </c:pt>
                <c:pt idx="8" formatCode="#,##0.000">
                  <c:v>0.73261386324670275</c:v>
                </c:pt>
                <c:pt idx="9" formatCode="#,##0.000">
                  <c:v>0.73261386324670275</c:v>
                </c:pt>
                <c:pt idx="10">
                  <c:v>0</c:v>
                </c:pt>
              </c:numCache>
            </c:numRef>
          </c:val>
        </c:ser>
        <c:ser>
          <c:idx val="3"/>
          <c:order val="3"/>
          <c:tx>
            <c:strRef>
              <c:f>'Productivity gaps2'!$L$5</c:f>
              <c:strCache>
                <c:ptCount val="1"/>
                <c:pt idx="0">
                  <c:v>Other</c:v>
                </c:pt>
              </c:strCache>
            </c:strRef>
          </c:tx>
          <c:spPr>
            <a:solidFill>
              <a:srgbClr val="FF00FF"/>
            </a:solidFill>
            <a:ln w="3175">
              <a:solidFill>
                <a:schemeClr val="bg1">
                  <a:lumMod val="50000"/>
                </a:schemeClr>
              </a:solidFill>
            </a:ln>
          </c:spPr>
          <c:cat>
            <c:numRef>
              <c:f>'Productivity gaps2'!$H$6:$H$27</c:f>
              <c:numCache>
                <c:formatCode>0.00</c:formatCode>
                <c:ptCount val="22"/>
                <c:pt idx="0">
                  <c:v>0</c:v>
                </c:pt>
                <c:pt idx="1">
                  <c:v>0</c:v>
                </c:pt>
                <c:pt idx="2">
                  <c:v>3.202458176852168</c:v>
                </c:pt>
                <c:pt idx="3">
                  <c:v>6.4049163537043361</c:v>
                </c:pt>
                <c:pt idx="4">
                  <c:v>6.4049163537043361</c:v>
                </c:pt>
                <c:pt idx="5">
                  <c:v>8.5011949470809149</c:v>
                </c:pt>
                <c:pt idx="6">
                  <c:v>10.597473540457495</c:v>
                </c:pt>
                <c:pt idx="7">
                  <c:v>10.597473540457495</c:v>
                </c:pt>
                <c:pt idx="8">
                  <c:v>20.495049504950494</c:v>
                </c:pt>
                <c:pt idx="9">
                  <c:v>30.392625469443495</c:v>
                </c:pt>
                <c:pt idx="10">
                  <c:v>30.392625469443495</c:v>
                </c:pt>
                <c:pt idx="11">
                  <c:v>56.124957323318526</c:v>
                </c:pt>
                <c:pt idx="12">
                  <c:v>81.857289177193564</c:v>
                </c:pt>
                <c:pt idx="13">
                  <c:v>81.857289177193564</c:v>
                </c:pt>
                <c:pt idx="14">
                  <c:v>86.910208262205515</c:v>
                </c:pt>
                <c:pt idx="15">
                  <c:v>91.963127347217466</c:v>
                </c:pt>
                <c:pt idx="16">
                  <c:v>91.963127347217466</c:v>
                </c:pt>
                <c:pt idx="17">
                  <c:v>93.451689996585856</c:v>
                </c:pt>
                <c:pt idx="18">
                  <c:v>94.940252645954232</c:v>
                </c:pt>
                <c:pt idx="19">
                  <c:v>94.940252645954232</c:v>
                </c:pt>
                <c:pt idx="20">
                  <c:v>97.470126322977109</c:v>
                </c:pt>
                <c:pt idx="21">
                  <c:v>99.999999999999986</c:v>
                </c:pt>
              </c:numCache>
            </c:numRef>
          </c:cat>
          <c:val>
            <c:numRef>
              <c:f>'Productivity gaps2'!$L$6:$L$27</c:f>
              <c:numCache>
                <c:formatCode>General</c:formatCode>
                <c:ptCount val="22"/>
                <c:pt idx="9">
                  <c:v>0</c:v>
                </c:pt>
                <c:pt idx="10" formatCode="#,##0.0">
                  <c:v>0.87957288930607935</c:v>
                </c:pt>
                <c:pt idx="11" formatCode="#,##0.0">
                  <c:v>0.87957288930607935</c:v>
                </c:pt>
                <c:pt idx="12" formatCode="#,##0.0">
                  <c:v>0.87957288930607935</c:v>
                </c:pt>
                <c:pt idx="13">
                  <c:v>0</c:v>
                </c:pt>
              </c:numCache>
            </c:numRef>
          </c:val>
        </c:ser>
        <c:ser>
          <c:idx val="4"/>
          <c:order val="4"/>
          <c:tx>
            <c:strRef>
              <c:f>'Productivity gaps2'!$M$5</c:f>
              <c:strCache>
                <c:ptCount val="1"/>
                <c:pt idx="0">
                  <c:v>Manufacturing</c:v>
                </c:pt>
              </c:strCache>
            </c:strRef>
          </c:tx>
          <c:spPr>
            <a:solidFill>
              <a:srgbClr val="66FFFF"/>
            </a:solidFill>
            <a:ln w="3175">
              <a:solidFill>
                <a:schemeClr val="bg1">
                  <a:lumMod val="50000"/>
                </a:schemeClr>
              </a:solidFill>
            </a:ln>
          </c:spPr>
          <c:cat>
            <c:numRef>
              <c:f>'Productivity gaps2'!$H$6:$H$27</c:f>
              <c:numCache>
                <c:formatCode>0.00</c:formatCode>
                <c:ptCount val="22"/>
                <c:pt idx="0">
                  <c:v>0</c:v>
                </c:pt>
                <c:pt idx="1">
                  <c:v>0</c:v>
                </c:pt>
                <c:pt idx="2">
                  <c:v>3.202458176852168</c:v>
                </c:pt>
                <c:pt idx="3">
                  <c:v>6.4049163537043361</c:v>
                </c:pt>
                <c:pt idx="4">
                  <c:v>6.4049163537043361</c:v>
                </c:pt>
                <c:pt idx="5">
                  <c:v>8.5011949470809149</c:v>
                </c:pt>
                <c:pt idx="6">
                  <c:v>10.597473540457495</c:v>
                </c:pt>
                <c:pt idx="7">
                  <c:v>10.597473540457495</c:v>
                </c:pt>
                <c:pt idx="8">
                  <c:v>20.495049504950494</c:v>
                </c:pt>
                <c:pt idx="9">
                  <c:v>30.392625469443495</c:v>
                </c:pt>
                <c:pt idx="10">
                  <c:v>30.392625469443495</c:v>
                </c:pt>
                <c:pt idx="11">
                  <c:v>56.124957323318526</c:v>
                </c:pt>
                <c:pt idx="12">
                  <c:v>81.857289177193564</c:v>
                </c:pt>
                <c:pt idx="13">
                  <c:v>81.857289177193564</c:v>
                </c:pt>
                <c:pt idx="14">
                  <c:v>86.910208262205515</c:v>
                </c:pt>
                <c:pt idx="15">
                  <c:v>91.963127347217466</c:v>
                </c:pt>
                <c:pt idx="16">
                  <c:v>91.963127347217466</c:v>
                </c:pt>
                <c:pt idx="17">
                  <c:v>93.451689996585856</c:v>
                </c:pt>
                <c:pt idx="18">
                  <c:v>94.940252645954232</c:v>
                </c:pt>
                <c:pt idx="19">
                  <c:v>94.940252645954232</c:v>
                </c:pt>
                <c:pt idx="20">
                  <c:v>97.470126322977109</c:v>
                </c:pt>
                <c:pt idx="21">
                  <c:v>99.999999999999986</c:v>
                </c:pt>
              </c:numCache>
            </c:numRef>
          </c:cat>
          <c:val>
            <c:numRef>
              <c:f>'Productivity gaps2'!$M$6:$M$27</c:f>
              <c:numCache>
                <c:formatCode>General</c:formatCode>
                <c:ptCount val="22"/>
                <c:pt idx="12">
                  <c:v>0</c:v>
                </c:pt>
                <c:pt idx="13" formatCode="#,##0.0">
                  <c:v>1.6375167803330679</c:v>
                </c:pt>
                <c:pt idx="14" formatCode="#,##0.0">
                  <c:v>1.6375167803330679</c:v>
                </c:pt>
                <c:pt idx="15" formatCode="#,##0.0">
                  <c:v>1.6375167803330679</c:v>
                </c:pt>
                <c:pt idx="16">
                  <c:v>0</c:v>
                </c:pt>
              </c:numCache>
            </c:numRef>
          </c:val>
        </c:ser>
        <c:ser>
          <c:idx val="5"/>
          <c:order val="5"/>
          <c:tx>
            <c:strRef>
              <c:f>'Productivity gaps2'!$N$5</c:f>
              <c:strCache>
                <c:ptCount val="1"/>
                <c:pt idx="0">
                  <c:v>Mining &amp; utilities</c:v>
                </c:pt>
              </c:strCache>
            </c:strRef>
          </c:tx>
          <c:spPr>
            <a:solidFill>
              <a:srgbClr val="000000"/>
            </a:solidFill>
            <a:ln w="3175">
              <a:solidFill>
                <a:schemeClr val="bg1">
                  <a:lumMod val="50000"/>
                </a:schemeClr>
              </a:solidFill>
            </a:ln>
          </c:spPr>
          <c:cat>
            <c:numRef>
              <c:f>'Productivity gaps2'!$H$6:$H$27</c:f>
              <c:numCache>
                <c:formatCode>0.00</c:formatCode>
                <c:ptCount val="22"/>
                <c:pt idx="0">
                  <c:v>0</c:v>
                </c:pt>
                <c:pt idx="1">
                  <c:v>0</c:v>
                </c:pt>
                <c:pt idx="2">
                  <c:v>3.202458176852168</c:v>
                </c:pt>
                <c:pt idx="3">
                  <c:v>6.4049163537043361</c:v>
                </c:pt>
                <c:pt idx="4">
                  <c:v>6.4049163537043361</c:v>
                </c:pt>
                <c:pt idx="5">
                  <c:v>8.5011949470809149</c:v>
                </c:pt>
                <c:pt idx="6">
                  <c:v>10.597473540457495</c:v>
                </c:pt>
                <c:pt idx="7">
                  <c:v>10.597473540457495</c:v>
                </c:pt>
                <c:pt idx="8">
                  <c:v>20.495049504950494</c:v>
                </c:pt>
                <c:pt idx="9">
                  <c:v>30.392625469443495</c:v>
                </c:pt>
                <c:pt idx="10">
                  <c:v>30.392625469443495</c:v>
                </c:pt>
                <c:pt idx="11">
                  <c:v>56.124957323318526</c:v>
                </c:pt>
                <c:pt idx="12">
                  <c:v>81.857289177193564</c:v>
                </c:pt>
                <c:pt idx="13">
                  <c:v>81.857289177193564</c:v>
                </c:pt>
                <c:pt idx="14">
                  <c:v>86.910208262205515</c:v>
                </c:pt>
                <c:pt idx="15">
                  <c:v>91.963127347217466</c:v>
                </c:pt>
                <c:pt idx="16">
                  <c:v>91.963127347217466</c:v>
                </c:pt>
                <c:pt idx="17">
                  <c:v>93.451689996585856</c:v>
                </c:pt>
                <c:pt idx="18">
                  <c:v>94.940252645954232</c:v>
                </c:pt>
                <c:pt idx="19">
                  <c:v>94.940252645954232</c:v>
                </c:pt>
                <c:pt idx="20">
                  <c:v>97.470126322977109</c:v>
                </c:pt>
                <c:pt idx="21">
                  <c:v>99.999999999999986</c:v>
                </c:pt>
              </c:numCache>
            </c:numRef>
          </c:cat>
          <c:val>
            <c:numRef>
              <c:f>'Productivity gaps2'!$N$6:$N$27</c:f>
              <c:numCache>
                <c:formatCode>General</c:formatCode>
                <c:ptCount val="22"/>
                <c:pt idx="15">
                  <c:v>0</c:v>
                </c:pt>
                <c:pt idx="16" formatCode="#,##0.0">
                  <c:v>2.1631404924946458</c:v>
                </c:pt>
                <c:pt idx="17" formatCode="#,##0.0">
                  <c:v>2.1631404924946458</c:v>
                </c:pt>
                <c:pt idx="18" formatCode="#,##0.0">
                  <c:v>2.1631404924946458</c:v>
                </c:pt>
                <c:pt idx="19">
                  <c:v>0</c:v>
                </c:pt>
              </c:numCache>
            </c:numRef>
          </c:val>
        </c:ser>
        <c:ser>
          <c:idx val="6"/>
          <c:order val="6"/>
          <c:tx>
            <c:strRef>
              <c:f>'Productivity gaps2'!$O$5</c:f>
              <c:strCache>
                <c:ptCount val="1"/>
                <c:pt idx="0">
                  <c:v>Transport, storage, comms</c:v>
                </c:pt>
              </c:strCache>
            </c:strRef>
          </c:tx>
          <c:spPr>
            <a:solidFill>
              <a:srgbClr val="FFFF00"/>
            </a:solidFill>
            <a:ln w="3175">
              <a:solidFill>
                <a:schemeClr val="bg1">
                  <a:lumMod val="50000"/>
                </a:schemeClr>
              </a:solidFill>
            </a:ln>
          </c:spPr>
          <c:cat>
            <c:numRef>
              <c:f>'Productivity gaps2'!$H$6:$H$27</c:f>
              <c:numCache>
                <c:formatCode>0.00</c:formatCode>
                <c:ptCount val="22"/>
                <c:pt idx="0">
                  <c:v>0</c:v>
                </c:pt>
                <c:pt idx="1">
                  <c:v>0</c:v>
                </c:pt>
                <c:pt idx="2">
                  <c:v>3.202458176852168</c:v>
                </c:pt>
                <c:pt idx="3">
                  <c:v>6.4049163537043361</c:v>
                </c:pt>
                <c:pt idx="4">
                  <c:v>6.4049163537043361</c:v>
                </c:pt>
                <c:pt idx="5">
                  <c:v>8.5011949470809149</c:v>
                </c:pt>
                <c:pt idx="6">
                  <c:v>10.597473540457495</c:v>
                </c:pt>
                <c:pt idx="7">
                  <c:v>10.597473540457495</c:v>
                </c:pt>
                <c:pt idx="8">
                  <c:v>20.495049504950494</c:v>
                </c:pt>
                <c:pt idx="9">
                  <c:v>30.392625469443495</c:v>
                </c:pt>
                <c:pt idx="10">
                  <c:v>30.392625469443495</c:v>
                </c:pt>
                <c:pt idx="11">
                  <c:v>56.124957323318526</c:v>
                </c:pt>
                <c:pt idx="12">
                  <c:v>81.857289177193564</c:v>
                </c:pt>
                <c:pt idx="13">
                  <c:v>81.857289177193564</c:v>
                </c:pt>
                <c:pt idx="14">
                  <c:v>86.910208262205515</c:v>
                </c:pt>
                <c:pt idx="15">
                  <c:v>91.963127347217466</c:v>
                </c:pt>
                <c:pt idx="16">
                  <c:v>91.963127347217466</c:v>
                </c:pt>
                <c:pt idx="17">
                  <c:v>93.451689996585856</c:v>
                </c:pt>
                <c:pt idx="18">
                  <c:v>94.940252645954232</c:v>
                </c:pt>
                <c:pt idx="19">
                  <c:v>94.940252645954232</c:v>
                </c:pt>
                <c:pt idx="20">
                  <c:v>97.470126322977109</c:v>
                </c:pt>
                <c:pt idx="21">
                  <c:v>99.999999999999986</c:v>
                </c:pt>
              </c:numCache>
            </c:numRef>
          </c:cat>
          <c:val>
            <c:numRef>
              <c:f>'Productivity gaps2'!$O$6:$O$27</c:f>
              <c:numCache>
                <c:formatCode>General</c:formatCode>
                <c:ptCount val="22"/>
                <c:pt idx="18">
                  <c:v>0</c:v>
                </c:pt>
                <c:pt idx="19" formatCode="#,##0.0">
                  <c:v>2.1810638097476227</c:v>
                </c:pt>
                <c:pt idx="20" formatCode="#,##0.0">
                  <c:v>2.1810638097476227</c:v>
                </c:pt>
                <c:pt idx="21" formatCode="#,##0.0">
                  <c:v>2.1810638097476227</c:v>
                </c:pt>
              </c:numCache>
            </c:numRef>
          </c:val>
        </c:ser>
        <c:dLbls>
          <c:showLegendKey val="0"/>
          <c:showVal val="0"/>
          <c:showCatName val="0"/>
          <c:showSerName val="0"/>
          <c:showPercent val="0"/>
          <c:showBubbleSize val="0"/>
        </c:dLbls>
        <c:axId val="645146496"/>
        <c:axId val="645152768"/>
      </c:areaChart>
      <c:dateAx>
        <c:axId val="645146496"/>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645152768"/>
        <c:crosses val="autoZero"/>
        <c:auto val="0"/>
        <c:lblOffset val="100"/>
        <c:baseTimeUnit val="days"/>
        <c:majorUnit val="10"/>
        <c:majorTimeUnit val="days"/>
      </c:dateAx>
      <c:valAx>
        <c:axId val="645152768"/>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645146496"/>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16</c:v>
                </c:pt>
                <c:pt idx="1">
                  <c:v>13.8</c:v>
                </c:pt>
                <c:pt idx="2">
                  <c:v>7.5</c:v>
                </c:pt>
                <c:pt idx="3">
                  <c:v>4.8000000000000007</c:v>
                </c:pt>
                <c:pt idx="4">
                  <c:v>5.2</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8.1</c:v>
                </c:pt>
                <c:pt idx="1">
                  <c:v>8.3000000000000007</c:v>
                </c:pt>
                <c:pt idx="2">
                  <c:v>5.5000000000000009</c:v>
                </c:pt>
                <c:pt idx="3">
                  <c:v>3.8</c:v>
                </c:pt>
                <c:pt idx="4">
                  <c:v>4.4000000000000004</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13.600000000000001</c:v>
                </c:pt>
                <c:pt idx="1">
                  <c:v>13.200000000000001</c:v>
                </c:pt>
                <c:pt idx="2">
                  <c:v>13.8</c:v>
                </c:pt>
                <c:pt idx="3">
                  <c:v>13.3</c:v>
                </c:pt>
                <c:pt idx="4">
                  <c:v>12.3</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6.1000000000000005</c:v>
                </c:pt>
                <c:pt idx="1">
                  <c:v>8</c:v>
                </c:pt>
                <c:pt idx="2">
                  <c:v>10.3</c:v>
                </c:pt>
                <c:pt idx="3">
                  <c:v>10.600000000000001</c:v>
                </c:pt>
                <c:pt idx="4">
                  <c:v>10</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17.8</c:v>
                </c:pt>
                <c:pt idx="1">
                  <c:v>18.3</c:v>
                </c:pt>
                <c:pt idx="2">
                  <c:v>21.200000000000003</c:v>
                </c:pt>
                <c:pt idx="3">
                  <c:v>19.5</c:v>
                </c:pt>
                <c:pt idx="4">
                  <c:v>18.400000000000002</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5.4</c:v>
                </c:pt>
                <c:pt idx="1">
                  <c:v>6.4</c:v>
                </c:pt>
                <c:pt idx="2">
                  <c:v>5.9</c:v>
                </c:pt>
                <c:pt idx="3">
                  <c:v>7</c:v>
                </c:pt>
                <c:pt idx="4">
                  <c:v>7.3000000000000007</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33</c:v>
                </c:pt>
                <c:pt idx="1">
                  <c:v>31.9</c:v>
                </c:pt>
                <c:pt idx="2">
                  <c:v>35.799999999999997</c:v>
                </c:pt>
                <c:pt idx="3">
                  <c:v>40.900000000000006</c:v>
                </c:pt>
                <c:pt idx="4">
                  <c:v>42.5</c:v>
                </c:pt>
              </c:numCache>
            </c:numRef>
          </c:val>
        </c:ser>
        <c:dLbls>
          <c:showLegendKey val="0"/>
          <c:showVal val="0"/>
          <c:showCatName val="0"/>
          <c:showSerName val="0"/>
          <c:showPercent val="0"/>
          <c:showBubbleSize val="0"/>
        </c:dLbls>
        <c:gapWidth val="150"/>
        <c:overlap val="100"/>
        <c:axId val="647183360"/>
        <c:axId val="647201536"/>
      </c:barChart>
      <c:catAx>
        <c:axId val="647183360"/>
        <c:scaling>
          <c:orientation val="minMax"/>
        </c:scaling>
        <c:delete val="0"/>
        <c:axPos val="b"/>
        <c:numFmt formatCode="General" sourceLinked="1"/>
        <c:majorTickMark val="out"/>
        <c:minorTickMark val="none"/>
        <c:tickLblPos val="nextTo"/>
        <c:crossAx val="647201536"/>
        <c:crosses val="autoZero"/>
        <c:auto val="1"/>
        <c:lblAlgn val="ctr"/>
        <c:lblOffset val="100"/>
        <c:noMultiLvlLbl val="0"/>
      </c:catAx>
      <c:valAx>
        <c:axId val="647201536"/>
        <c:scaling>
          <c:orientation val="minMax"/>
        </c:scaling>
        <c:delete val="0"/>
        <c:axPos val="l"/>
        <c:majorGridlines/>
        <c:numFmt formatCode="0%" sourceLinked="1"/>
        <c:majorTickMark val="out"/>
        <c:minorTickMark val="none"/>
        <c:tickLblPos val="nextTo"/>
        <c:crossAx val="64718336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12.5</c:v>
                </c:pt>
                <c:pt idx="1">
                  <c:v>13.100000000000001</c:v>
                </c:pt>
                <c:pt idx="2">
                  <c:v>4.8000000000000007</c:v>
                </c:pt>
                <c:pt idx="3">
                  <c:v>3</c:v>
                </c:pt>
                <c:pt idx="4">
                  <c:v>2.9000000000000004</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0.5</c:v>
                </c:pt>
                <c:pt idx="1">
                  <c:v>0.4</c:v>
                </c:pt>
                <c:pt idx="2">
                  <c:v>0.60000000000000009</c:v>
                </c:pt>
                <c:pt idx="3">
                  <c:v>0.8</c:v>
                </c:pt>
                <c:pt idx="4">
                  <c:v>1.1000000000000001</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10.9</c:v>
                </c:pt>
                <c:pt idx="1">
                  <c:v>8.5</c:v>
                </c:pt>
                <c:pt idx="2">
                  <c:v>9.1</c:v>
                </c:pt>
                <c:pt idx="3">
                  <c:v>8.1</c:v>
                </c:pt>
                <c:pt idx="4">
                  <c:v>7.2</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0.8</c:v>
                </c:pt>
                <c:pt idx="1">
                  <c:v>0.70000000000000007</c:v>
                </c:pt>
                <c:pt idx="2">
                  <c:v>1.2000000000000002</c:v>
                </c:pt>
                <c:pt idx="3">
                  <c:v>1.6</c:v>
                </c:pt>
                <c:pt idx="4">
                  <c:v>1.7000000000000002</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19.899999999999999</c:v>
                </c:pt>
                <c:pt idx="1">
                  <c:v>20.900000000000002</c:v>
                </c:pt>
                <c:pt idx="2">
                  <c:v>25.400000000000002</c:v>
                </c:pt>
                <c:pt idx="3">
                  <c:v>22.800000000000004</c:v>
                </c:pt>
                <c:pt idx="4">
                  <c:v>21.7</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1.2000000000000002</c:v>
                </c:pt>
                <c:pt idx="1">
                  <c:v>1.3</c:v>
                </c:pt>
                <c:pt idx="2">
                  <c:v>1.9000000000000001</c:v>
                </c:pt>
                <c:pt idx="3">
                  <c:v>2.2000000000000002</c:v>
                </c:pt>
                <c:pt idx="4">
                  <c:v>2.1</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54.100000000000009</c:v>
                </c:pt>
                <c:pt idx="1">
                  <c:v>54.8</c:v>
                </c:pt>
                <c:pt idx="2">
                  <c:v>56.800000000000004</c:v>
                </c:pt>
                <c:pt idx="3">
                  <c:v>61.400000000000006</c:v>
                </c:pt>
                <c:pt idx="4">
                  <c:v>63.300000000000004</c:v>
                </c:pt>
              </c:numCache>
            </c:numRef>
          </c:val>
        </c:ser>
        <c:dLbls>
          <c:showLegendKey val="0"/>
          <c:showVal val="0"/>
          <c:showCatName val="0"/>
          <c:showSerName val="0"/>
          <c:showPercent val="0"/>
          <c:showBubbleSize val="0"/>
        </c:dLbls>
        <c:gapWidth val="150"/>
        <c:overlap val="100"/>
        <c:axId val="649795072"/>
        <c:axId val="649796608"/>
      </c:barChart>
      <c:catAx>
        <c:axId val="649795072"/>
        <c:scaling>
          <c:orientation val="minMax"/>
        </c:scaling>
        <c:delete val="0"/>
        <c:axPos val="b"/>
        <c:numFmt formatCode="General" sourceLinked="1"/>
        <c:majorTickMark val="out"/>
        <c:minorTickMark val="none"/>
        <c:tickLblPos val="nextTo"/>
        <c:crossAx val="649796608"/>
        <c:crosses val="autoZero"/>
        <c:auto val="1"/>
        <c:lblAlgn val="ctr"/>
        <c:lblOffset val="100"/>
        <c:noMultiLvlLbl val="0"/>
      </c:catAx>
      <c:valAx>
        <c:axId val="649796608"/>
        <c:scaling>
          <c:orientation val="minMax"/>
        </c:scaling>
        <c:delete val="1"/>
        <c:axPos val="l"/>
        <c:majorGridlines/>
        <c:numFmt formatCode="0%" sourceLinked="1"/>
        <c:majorTickMark val="out"/>
        <c:minorTickMark val="none"/>
        <c:tickLblPos val="nextTo"/>
        <c:crossAx val="649795072"/>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21.089103698730469</c:v>
                </c:pt>
                <c:pt idx="1">
                  <c:v>15.456591606140137</c:v>
                </c:pt>
                <c:pt idx="2">
                  <c:v>8.6489648818969727</c:v>
                </c:pt>
                <c:pt idx="3">
                  <c:v>5.9381198883056641</c:v>
                </c:pt>
                <c:pt idx="4">
                  <c:v>5.4387893676757812</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30.715564727783203</c:v>
                </c:pt>
                <c:pt idx="1">
                  <c:v>33.696365356445313</c:v>
                </c:pt>
                <c:pt idx="2">
                  <c:v>34.59613037109375</c:v>
                </c:pt>
                <c:pt idx="3">
                  <c:v>34.224979400634766</c:v>
                </c:pt>
                <c:pt idx="4">
                  <c:v>33.564010620117187</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48.195327758789063</c:v>
                </c:pt>
                <c:pt idx="1">
                  <c:v>50.847038269042969</c:v>
                </c:pt>
                <c:pt idx="2">
                  <c:v>56.754898071289063</c:v>
                </c:pt>
                <c:pt idx="3">
                  <c:v>59.836898803710937</c:v>
                </c:pt>
                <c:pt idx="4">
                  <c:v>60.9971923828125</c:v>
                </c:pt>
              </c:numCache>
            </c:numRef>
          </c:val>
        </c:ser>
        <c:dLbls>
          <c:showLegendKey val="0"/>
          <c:showVal val="0"/>
          <c:showCatName val="0"/>
          <c:showSerName val="0"/>
          <c:showPercent val="0"/>
          <c:showBubbleSize val="0"/>
        </c:dLbls>
        <c:gapWidth val="150"/>
        <c:overlap val="100"/>
        <c:axId val="548414976"/>
        <c:axId val="548416512"/>
      </c:barChart>
      <c:catAx>
        <c:axId val="548414976"/>
        <c:scaling>
          <c:orientation val="minMax"/>
        </c:scaling>
        <c:delete val="0"/>
        <c:axPos val="b"/>
        <c:numFmt formatCode="0" sourceLinked="1"/>
        <c:majorTickMark val="out"/>
        <c:minorTickMark val="none"/>
        <c:tickLblPos val="nextTo"/>
        <c:crossAx val="548416512"/>
        <c:crosses val="autoZero"/>
        <c:auto val="1"/>
        <c:lblAlgn val="ctr"/>
        <c:lblOffset val="100"/>
        <c:noMultiLvlLbl val="0"/>
      </c:catAx>
      <c:valAx>
        <c:axId val="54841651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54841497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30.963603973388672</c:v>
                </c:pt>
                <c:pt idx="1">
                  <c:v>16.23051643371582</c:v>
                </c:pt>
                <c:pt idx="2">
                  <c:v>6.0311884880065918</c:v>
                </c:pt>
                <c:pt idx="3">
                  <c:v>4.528754711151123</c:v>
                </c:pt>
                <c:pt idx="4">
                  <c:v>3.7984097003936768</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8.9589529037475586</c:v>
                </c:pt>
                <c:pt idx="1">
                  <c:v>12.195540428161621</c:v>
                </c:pt>
                <c:pt idx="2">
                  <c:v>13.722735404968262</c:v>
                </c:pt>
                <c:pt idx="3">
                  <c:v>15.765680313110352</c:v>
                </c:pt>
                <c:pt idx="4">
                  <c:v>15.269258499145508</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60.077438354492188</c:v>
                </c:pt>
                <c:pt idx="1">
                  <c:v>71.573944091796875</c:v>
                </c:pt>
                <c:pt idx="2">
                  <c:v>80.246070861816406</c:v>
                </c:pt>
                <c:pt idx="3">
                  <c:v>79.705558776855469</c:v>
                </c:pt>
                <c:pt idx="4">
                  <c:v>80.932327270507813</c:v>
                </c:pt>
              </c:numCache>
            </c:numRef>
          </c:val>
        </c:ser>
        <c:dLbls>
          <c:showLegendKey val="0"/>
          <c:showVal val="0"/>
          <c:showCatName val="0"/>
          <c:showSerName val="0"/>
          <c:showPercent val="0"/>
          <c:showBubbleSize val="0"/>
        </c:dLbls>
        <c:gapWidth val="150"/>
        <c:overlap val="100"/>
        <c:axId val="548467456"/>
        <c:axId val="548468992"/>
      </c:barChart>
      <c:catAx>
        <c:axId val="548467456"/>
        <c:scaling>
          <c:orientation val="minMax"/>
        </c:scaling>
        <c:delete val="0"/>
        <c:axPos val="b"/>
        <c:numFmt formatCode="0" sourceLinked="1"/>
        <c:majorTickMark val="out"/>
        <c:minorTickMark val="none"/>
        <c:tickLblPos val="nextTo"/>
        <c:crossAx val="548468992"/>
        <c:crosses val="autoZero"/>
        <c:auto val="1"/>
        <c:lblAlgn val="ctr"/>
        <c:lblOffset val="100"/>
        <c:noMultiLvlLbl val="0"/>
      </c:catAx>
      <c:valAx>
        <c:axId val="548468992"/>
        <c:scaling>
          <c:orientation val="minMax"/>
        </c:scaling>
        <c:delete val="1"/>
        <c:axPos val="l"/>
        <c:majorGridlines/>
        <c:numFmt formatCode="0%" sourceLinked="1"/>
        <c:majorTickMark val="out"/>
        <c:minorTickMark val="none"/>
        <c:tickLblPos val="nextTo"/>
        <c:crossAx val="54846745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employment1'!$B$39</c:f>
              <c:numCache>
                <c:formatCode>0.0</c:formatCode>
                <c:ptCount val="1"/>
                <c:pt idx="0">
                  <c:v>0.73235496830628044</c:v>
                </c:pt>
              </c:numCache>
            </c:numRef>
          </c:xVal>
          <c:yVal>
            <c:numRef>
              <c:f>'Rel. prod. cf employment1'!$C$39</c:f>
              <c:numCache>
                <c:formatCode>0.0</c:formatCode>
                <c:ptCount val="1"/>
                <c:pt idx="0">
                  <c:v>0.18156016966710073</c:v>
                </c:pt>
              </c:numCache>
            </c:numRef>
          </c:yVal>
          <c:bubbleSize>
            <c:numRef>
              <c:f>'Rel. prod. cf employment1'!$E$39</c:f>
              <c:numCache>
                <c:formatCode>#,##0</c:formatCode>
                <c:ptCount val="1"/>
                <c:pt idx="0">
                  <c:v>2196.75</c:v>
                </c:pt>
              </c:numCache>
            </c:numRef>
          </c:bubbleSize>
          <c:bubble3D val="1"/>
        </c:ser>
        <c:ser>
          <c:idx val="1"/>
          <c:order val="1"/>
          <c:tx>
            <c:v>Mining</c:v>
          </c:tx>
          <c:spPr>
            <a:solidFill>
              <a:srgbClr val="FF0000"/>
            </a:solidFill>
            <a:ln w="25400">
              <a:noFill/>
            </a:ln>
          </c:spPr>
          <c:invertIfNegative val="0"/>
          <c:xVal>
            <c:numRef>
              <c:f>'Rel. prod. cf employment1'!$B$40</c:f>
              <c:numCache>
                <c:formatCode>0.0</c:formatCode>
                <c:ptCount val="1"/>
                <c:pt idx="0">
                  <c:v>-0.35747895794895301</c:v>
                </c:pt>
              </c:numCache>
            </c:numRef>
          </c:xVal>
          <c:yVal>
            <c:numRef>
              <c:f>'Rel. prod. cf employment1'!$C$40</c:f>
              <c:numCache>
                <c:formatCode>0.0</c:formatCode>
                <c:ptCount val="1"/>
                <c:pt idx="0">
                  <c:v>3.1114817628236207</c:v>
                </c:pt>
              </c:numCache>
            </c:numRef>
          </c:yVal>
          <c:bubbleSize>
            <c:numRef>
              <c:f>'Rel. prod. cf employment1'!$E$40</c:f>
              <c:numCache>
                <c:formatCode>#,##0</c:formatCode>
                <c:ptCount val="1"/>
                <c:pt idx="0">
                  <c:v>305</c:v>
                </c:pt>
              </c:numCache>
            </c:numRef>
          </c:bubbleSize>
          <c:bubble3D val="1"/>
        </c:ser>
        <c:ser>
          <c:idx val="2"/>
          <c:order val="2"/>
          <c:tx>
            <c:v>Manufacturing</c:v>
          </c:tx>
          <c:spPr>
            <a:solidFill>
              <a:srgbClr val="00B050"/>
            </a:solidFill>
            <a:ln w="25400">
              <a:noFill/>
            </a:ln>
          </c:spPr>
          <c:invertIfNegative val="0"/>
          <c:xVal>
            <c:numRef>
              <c:f>'Rel. prod. cf employment1'!$B$41</c:f>
              <c:numCache>
                <c:formatCode>0.0</c:formatCode>
                <c:ptCount val="1"/>
                <c:pt idx="0">
                  <c:v>-1.3566318188297011</c:v>
                </c:pt>
              </c:numCache>
            </c:numRef>
          </c:xVal>
          <c:yVal>
            <c:numRef>
              <c:f>'Rel. prod. cf employment1'!$C$41</c:f>
              <c:numCache>
                <c:formatCode>0.0</c:formatCode>
                <c:ptCount val="1"/>
                <c:pt idx="0">
                  <c:v>1.5521556017400497</c:v>
                </c:pt>
              </c:numCache>
            </c:numRef>
          </c:yVal>
          <c:bubbleSize>
            <c:numRef>
              <c:f>'Rel. prod. cf employment1'!$E$41</c:f>
              <c:numCache>
                <c:formatCode>#,##0</c:formatCode>
                <c:ptCount val="1"/>
                <c:pt idx="0">
                  <c:v>1739</c:v>
                </c:pt>
              </c:numCache>
            </c:numRef>
          </c:bubbleSize>
          <c:bubble3D val="1"/>
        </c:ser>
        <c:ser>
          <c:idx val="3"/>
          <c:order val="3"/>
          <c:tx>
            <c:v>Utilities</c:v>
          </c:tx>
          <c:spPr>
            <a:solidFill>
              <a:srgbClr val="FFFF00"/>
            </a:solidFill>
            <a:ln w="25400">
              <a:noFill/>
            </a:ln>
          </c:spPr>
          <c:invertIfNegative val="0"/>
          <c:xVal>
            <c:numRef>
              <c:f>'Rel. prod. cf employment1'!$B$42</c:f>
              <c:numCache>
                <c:formatCode>0.0</c:formatCode>
                <c:ptCount val="1"/>
                <c:pt idx="0">
                  <c:v>-4.696797401117303E-2</c:v>
                </c:pt>
              </c:numCache>
            </c:numRef>
          </c:xVal>
          <c:yVal>
            <c:numRef>
              <c:f>'Rel. prod. cf employment1'!$C$42</c:f>
              <c:numCache>
                <c:formatCode>0.0</c:formatCode>
                <c:ptCount val="1"/>
                <c:pt idx="0">
                  <c:v>3.6436925395422128</c:v>
                </c:pt>
              </c:numCache>
            </c:numRef>
          </c:yVal>
          <c:bubbleSize>
            <c:numRef>
              <c:f>'Rel. prod. cf employment1'!$E$42</c:f>
              <c:numCache>
                <c:formatCode>#,##0</c:formatCode>
                <c:ptCount val="1"/>
                <c:pt idx="0">
                  <c:v>90</c:v>
                </c:pt>
              </c:numCache>
            </c:numRef>
          </c:bubbleSize>
          <c:bubble3D val="1"/>
        </c:ser>
        <c:ser>
          <c:idx val="5"/>
          <c:order val="4"/>
          <c:tx>
            <c:v>Trade services</c:v>
          </c:tx>
          <c:spPr>
            <a:solidFill>
              <a:srgbClr val="66FFFF"/>
            </a:solidFill>
            <a:ln w="25400">
              <a:noFill/>
            </a:ln>
          </c:spPr>
          <c:invertIfNegative val="0"/>
          <c:xVal>
            <c:numRef>
              <c:f>'Rel. prod. cf employment1'!$B$44</c:f>
              <c:numCache>
                <c:formatCode>0.0</c:formatCode>
                <c:ptCount val="1"/>
                <c:pt idx="0">
                  <c:v>-2.6349498225718406</c:v>
                </c:pt>
              </c:numCache>
            </c:numRef>
          </c:xVal>
          <c:yVal>
            <c:numRef>
              <c:f>'Rel. prod. cf employment1'!$C$44</c:f>
              <c:numCache>
                <c:formatCode>0.0</c:formatCode>
                <c:ptCount val="1"/>
                <c:pt idx="0">
                  <c:v>0.73408144281202425</c:v>
                </c:pt>
              </c:numCache>
            </c:numRef>
          </c:yVal>
          <c:bubbleSize>
            <c:numRef>
              <c:f>'Rel. prod. cf employment1'!$E$44</c:f>
              <c:numCache>
                <c:formatCode>#,##0</c:formatCode>
                <c:ptCount val="1"/>
                <c:pt idx="0">
                  <c:v>2927</c:v>
                </c:pt>
              </c:numCache>
            </c:numRef>
          </c:bubbleSize>
          <c:bubble3D val="1"/>
        </c:ser>
        <c:ser>
          <c:idx val="6"/>
          <c:order val="5"/>
          <c:tx>
            <c:v>Transport services</c:v>
          </c:tx>
          <c:spPr>
            <a:solidFill>
              <a:srgbClr val="FF00FF"/>
            </a:solidFill>
            <a:ln w="25400">
              <a:noFill/>
            </a:ln>
          </c:spPr>
          <c:invertIfNegative val="0"/>
          <c:xVal>
            <c:numRef>
              <c:f>'Rel. prod. cf employment1'!$B$45</c:f>
              <c:numCache>
                <c:formatCode>0.0</c:formatCode>
                <c:ptCount val="1"/>
                <c:pt idx="0">
                  <c:v>0.27151592995557206</c:v>
                </c:pt>
              </c:numCache>
            </c:numRef>
          </c:xVal>
          <c:yVal>
            <c:numRef>
              <c:f>'Rel. prod. cf employment1'!$C$45</c:f>
              <c:numCache>
                <c:formatCode>0.0</c:formatCode>
                <c:ptCount val="1"/>
                <c:pt idx="0">
                  <c:v>2.0671195438919479</c:v>
                </c:pt>
              </c:numCache>
            </c:numRef>
          </c:yVal>
          <c:bubbleSize>
            <c:numRef>
              <c:f>'Rel. prod. cf employment1'!$E$45</c:f>
              <c:numCache>
                <c:formatCode>#,##0</c:formatCode>
                <c:ptCount val="1"/>
                <c:pt idx="0">
                  <c:v>774</c:v>
                </c:pt>
              </c:numCache>
            </c:numRef>
          </c:bubbleSize>
          <c:bubble3D val="1"/>
        </c:ser>
        <c:ser>
          <c:idx val="7"/>
          <c:order val="6"/>
          <c:tx>
            <c:v>Business services</c:v>
          </c:tx>
          <c:spPr>
            <a:solidFill>
              <a:srgbClr val="99FF66"/>
            </a:solidFill>
            <a:ln w="25400">
              <a:noFill/>
            </a:ln>
          </c:spPr>
          <c:invertIfNegative val="0"/>
          <c:xVal>
            <c:numRef>
              <c:f>'Rel. prod. cf employment1'!$B$46</c:f>
              <c:numCache>
                <c:formatCode>0.0</c:formatCode>
                <c:ptCount val="1"/>
                <c:pt idx="0">
                  <c:v>1.7948019048585451</c:v>
                </c:pt>
              </c:numCache>
            </c:numRef>
          </c:xVal>
          <c:yVal>
            <c:numRef>
              <c:f>'Rel. prod. cf employment1'!$C$46</c:f>
              <c:numCache>
                <c:formatCode>0.0</c:formatCode>
                <c:ptCount val="1"/>
                <c:pt idx="0">
                  <c:v>1.5736007615712337</c:v>
                </c:pt>
              </c:numCache>
            </c:numRef>
          </c:yVal>
          <c:bubbleSize>
            <c:numRef>
              <c:f>'Rel. prod. cf employment1'!$E$46</c:f>
              <c:numCache>
                <c:formatCode>#,##0</c:formatCode>
                <c:ptCount val="1"/>
                <c:pt idx="0">
                  <c:v>1656</c:v>
                </c:pt>
              </c:numCache>
            </c:numRef>
          </c:bubbleSize>
          <c:bubble3D val="1"/>
        </c:ser>
        <c:ser>
          <c:idx val="8"/>
          <c:order val="7"/>
          <c:tx>
            <c:v>Govt services</c:v>
          </c:tx>
          <c:spPr>
            <a:solidFill>
              <a:srgbClr val="984807"/>
            </a:solidFill>
            <a:ln w="25400">
              <a:noFill/>
            </a:ln>
          </c:spPr>
          <c:invertIfNegative val="0"/>
          <c:xVal>
            <c:numRef>
              <c:f>'Rel. prod. cf employment1'!$B$47</c:f>
              <c:numCache>
                <c:formatCode>0.0</c:formatCode>
                <c:ptCount val="1"/>
                <c:pt idx="0">
                  <c:v>0.5974440836228343</c:v>
                </c:pt>
              </c:numCache>
            </c:numRef>
          </c:xVal>
          <c:yVal>
            <c:numRef>
              <c:f>'Rel. prod. cf employment1'!$C$47</c:f>
              <c:numCache>
                <c:formatCode>0.0</c:formatCode>
                <c:ptCount val="1"/>
                <c:pt idx="0">
                  <c:v>1.0520728502482102</c:v>
                </c:pt>
              </c:numCache>
            </c:numRef>
          </c:yVal>
          <c:bubbleSize>
            <c:numRef>
              <c:f>'Rel. prod. cf employment1'!$E$47</c:f>
              <c:numCache>
                <c:formatCode>#,##0</c:formatCode>
                <c:ptCount val="1"/>
                <c:pt idx="0">
                  <c:v>2261.9811503141614</c:v>
                </c:pt>
              </c:numCache>
            </c:numRef>
          </c:bubbleSize>
          <c:bubble3D val="1"/>
        </c:ser>
        <c:ser>
          <c:idx val="9"/>
          <c:order val="8"/>
          <c:tx>
            <c:v>Personal services</c:v>
          </c:tx>
          <c:spPr>
            <a:solidFill>
              <a:srgbClr val="9999FF"/>
            </a:solidFill>
            <a:ln w="25400">
              <a:noFill/>
            </a:ln>
          </c:spPr>
          <c:invertIfNegative val="0"/>
          <c:xVal>
            <c:numRef>
              <c:f>'Rel. prod. cf employment1'!$B$48</c:f>
              <c:numCache>
                <c:formatCode>0.0</c:formatCode>
                <c:ptCount val="1"/>
                <c:pt idx="0">
                  <c:v>0.42498090315602788</c:v>
                </c:pt>
              </c:numCache>
            </c:numRef>
          </c:xVal>
          <c:yVal>
            <c:numRef>
              <c:f>'Rel. prod. cf employment1'!$C$48</c:f>
              <c:numCache>
                <c:formatCode>0.0</c:formatCode>
                <c:ptCount val="1"/>
                <c:pt idx="0">
                  <c:v>0.59469739278945077</c:v>
                </c:pt>
              </c:numCache>
            </c:numRef>
          </c:yVal>
          <c:bubbleSize>
            <c:numRef>
              <c:f>'Rel. prod. cf employment1'!$E$48</c:f>
              <c:numCache>
                <c:formatCode>#,##0</c:formatCode>
                <c:ptCount val="1"/>
                <c:pt idx="0">
                  <c:v>1609.0188496858386</c:v>
                </c:pt>
              </c:numCache>
            </c:numRef>
          </c:bubbleSize>
          <c:bubble3D val="1"/>
        </c:ser>
        <c:ser>
          <c:idx val="4"/>
          <c:order val="9"/>
          <c:tx>
            <c:v>Construction</c:v>
          </c:tx>
          <c:spPr>
            <a:solidFill>
              <a:srgbClr val="6600FF"/>
            </a:solidFill>
            <a:ln w="25400">
              <a:noFill/>
            </a:ln>
          </c:spPr>
          <c:invertIfNegative val="0"/>
          <c:xVal>
            <c:numRef>
              <c:f>'Rel. prod. cf employment1'!$B$43</c:f>
              <c:numCache>
                <c:formatCode>0.0</c:formatCode>
                <c:ptCount val="1"/>
                <c:pt idx="0">
                  <c:v>0.57493078346242221</c:v>
                </c:pt>
              </c:numCache>
            </c:numRef>
          </c:xVal>
          <c:yVal>
            <c:numRef>
              <c:f>'Rel. prod. cf employment1'!$C$43</c:f>
              <c:numCache>
                <c:formatCode>0.0</c:formatCode>
                <c:ptCount val="1"/>
                <c:pt idx="0">
                  <c:v>0.52135546935540134</c:v>
                </c:pt>
              </c:numCache>
            </c:numRef>
          </c:yVal>
          <c:bubbleSize>
            <c:numRef>
              <c:f>'Rel. prod. cf employment1'!$E$43</c:f>
              <c:numCache>
                <c:formatCode>#,##0</c:formatCode>
                <c:ptCount val="1"/>
                <c:pt idx="0">
                  <c:v>1060</c:v>
                </c:pt>
              </c:numCache>
            </c:numRef>
          </c:bubbleSize>
          <c:bubble3D val="1"/>
        </c:ser>
        <c:dLbls>
          <c:showLegendKey val="0"/>
          <c:showVal val="0"/>
          <c:showCatName val="0"/>
          <c:showSerName val="0"/>
          <c:showPercent val="0"/>
          <c:showBubbleSize val="0"/>
        </c:dLbls>
        <c:bubbleScale val="100"/>
        <c:showNegBubbles val="0"/>
        <c:axId val="550779520"/>
        <c:axId val="552215680"/>
      </c:bubbleChart>
      <c:valAx>
        <c:axId val="550779520"/>
        <c:scaling>
          <c:orientation val="minMax"/>
        </c:scaling>
        <c:delete val="0"/>
        <c:axPos val="b"/>
        <c:title>
          <c:tx>
            <c:rich>
              <a:bodyPr/>
              <a:lstStyle/>
              <a:p>
                <a:pPr>
                  <a:defRPr sz="800" b="0"/>
                </a:pPr>
                <a:r>
                  <a:rPr lang="en-US" sz="800" b="0"/>
                  <a:t>Percentage point change in share of persons engaged, 2005-10</a:t>
                </a:r>
              </a:p>
            </c:rich>
          </c:tx>
          <c:layout/>
          <c:overlay val="0"/>
        </c:title>
        <c:numFmt formatCode="0.0" sourceLinked="1"/>
        <c:majorTickMark val="out"/>
        <c:minorTickMark val="none"/>
        <c:tickLblPos val="low"/>
        <c:crossAx val="552215680"/>
        <c:crosses val="autoZero"/>
        <c:crossBetween val="midCat"/>
      </c:valAx>
      <c:valAx>
        <c:axId val="552215680"/>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 sourceLinked="1"/>
        <c:majorTickMark val="out"/>
        <c:minorTickMark val="none"/>
        <c:tickLblPos val="low"/>
        <c:crossAx val="55077952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change1'!$F$3</c:f>
              <c:strCache>
                <c:ptCount val="1"/>
                <c:pt idx="0">
                  <c:v>Within sector</c:v>
                </c:pt>
              </c:strCache>
            </c:strRef>
          </c:tx>
          <c:invertIfNegative val="0"/>
          <c:cat>
            <c:strRef>
              <c:f>'Decomp.of prod change1'!$E$4:$E$6</c:f>
              <c:strCache>
                <c:ptCount val="3"/>
                <c:pt idx="0">
                  <c:v>1990-2000</c:v>
                </c:pt>
                <c:pt idx="1">
                  <c:v>2000-05</c:v>
                </c:pt>
                <c:pt idx="2">
                  <c:v>2005-10</c:v>
                </c:pt>
              </c:strCache>
            </c:strRef>
          </c:cat>
          <c:val>
            <c:numRef>
              <c:f>'Decomp.of prod change1'!$F$4:$F$6</c:f>
              <c:numCache>
                <c:formatCode>0.00%</c:formatCode>
                <c:ptCount val="3"/>
                <c:pt idx="0">
                  <c:v>3.3004622579553482E-3</c:v>
                </c:pt>
                <c:pt idx="1">
                  <c:v>2.7728033298695227E-2</c:v>
                </c:pt>
                <c:pt idx="2">
                  <c:v>2.5916398538331612E-2</c:v>
                </c:pt>
              </c:numCache>
            </c:numRef>
          </c:val>
        </c:ser>
        <c:ser>
          <c:idx val="1"/>
          <c:order val="1"/>
          <c:tx>
            <c:strRef>
              <c:f>'Decomp.of prod change1'!$G$3</c:f>
              <c:strCache>
                <c:ptCount val="1"/>
                <c:pt idx="0">
                  <c:v>Structural change</c:v>
                </c:pt>
              </c:strCache>
            </c:strRef>
          </c:tx>
          <c:spPr>
            <a:solidFill>
              <a:schemeClr val="accent6"/>
            </a:solidFill>
          </c:spPr>
          <c:invertIfNegative val="0"/>
          <c:cat>
            <c:strRef>
              <c:f>'Decomp.of prod change1'!$E$4:$E$6</c:f>
              <c:strCache>
                <c:ptCount val="3"/>
                <c:pt idx="0">
                  <c:v>1990-2000</c:v>
                </c:pt>
                <c:pt idx="1">
                  <c:v>2000-05</c:v>
                </c:pt>
                <c:pt idx="2">
                  <c:v>2005-10</c:v>
                </c:pt>
              </c:strCache>
            </c:strRef>
          </c:cat>
          <c:val>
            <c:numRef>
              <c:f>'Decomp.of prod change1'!$G$4:$G$6</c:f>
              <c:numCache>
                <c:formatCode>0.00%</c:formatCode>
                <c:ptCount val="3"/>
                <c:pt idx="0">
                  <c:v>-3.2693398282868306E-3</c:v>
                </c:pt>
                <c:pt idx="1">
                  <c:v>5.8925076033033291E-4</c:v>
                </c:pt>
                <c:pt idx="2">
                  <c:v>-2.0590529223915056E-3</c:v>
                </c:pt>
              </c:numCache>
            </c:numRef>
          </c:val>
        </c:ser>
        <c:dLbls>
          <c:showLegendKey val="0"/>
          <c:showVal val="0"/>
          <c:showCatName val="0"/>
          <c:showSerName val="0"/>
          <c:showPercent val="0"/>
          <c:showBubbleSize val="0"/>
        </c:dLbls>
        <c:gapWidth val="150"/>
        <c:overlap val="100"/>
        <c:axId val="559422848"/>
        <c:axId val="559478272"/>
      </c:barChart>
      <c:catAx>
        <c:axId val="559422848"/>
        <c:scaling>
          <c:orientation val="minMax"/>
        </c:scaling>
        <c:delete val="0"/>
        <c:axPos val="b"/>
        <c:majorTickMark val="out"/>
        <c:minorTickMark val="none"/>
        <c:tickLblPos val="low"/>
        <c:crossAx val="559478272"/>
        <c:crosses val="autoZero"/>
        <c:auto val="1"/>
        <c:lblAlgn val="ctr"/>
        <c:lblOffset val="100"/>
        <c:noMultiLvlLbl val="0"/>
      </c:catAx>
      <c:valAx>
        <c:axId val="559478272"/>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55942284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Agriculture</a:t>
                    </a:r>
                    <a:endParaRPr lang="en-US"/>
                  </a:p>
                </c:rich>
              </c:tx>
              <c:dLblPos val="r"/>
              <c:showLegendKey val="0"/>
              <c:showVal val="1"/>
              <c:showCatName val="1"/>
              <c:showSerName val="0"/>
              <c:showPercent val="0"/>
              <c:showBubbleSize val="0"/>
            </c:dLbl>
            <c:dLbl>
              <c:idx val="1"/>
              <c:layout/>
              <c:tx>
                <c:rich>
                  <a:bodyPr/>
                  <a:lstStyle/>
                  <a:p>
                    <a:r>
                      <a:rPr lang="en-US" sz="700"/>
                      <a:t>Other</a:t>
                    </a:r>
                    <a:r>
                      <a:rPr lang="en-US" sz="700" baseline="0"/>
                      <a:t> non-</a:t>
                    </a:r>
                    <a:br>
                      <a:rPr lang="en-US" sz="700" baseline="0"/>
                    </a:br>
                    <a:r>
                      <a:rPr lang="en-US" sz="700" baseline="0"/>
                      <a:t>market services</a:t>
                    </a:r>
                    <a:endParaRPr lang="en-US"/>
                  </a:p>
                </c:rich>
              </c:tx>
              <c:dLblPos val="l"/>
              <c:showLegendKey val="0"/>
              <c:showVal val="1"/>
              <c:showCatName val="1"/>
              <c:showSerName val="0"/>
              <c:showPercent val="0"/>
              <c:showBubbleSize val="0"/>
            </c:dLbl>
            <c:dLbl>
              <c:idx val="2"/>
              <c:layout/>
              <c:tx>
                <c:rich>
                  <a:bodyPr/>
                  <a:lstStyle/>
                  <a:p>
                    <a:r>
                      <a:rPr lang="en-US" sz="700"/>
                      <a:t>Other industry</a:t>
                    </a:r>
                    <a:endParaRPr lang="en-US"/>
                  </a:p>
                </c:rich>
              </c:tx>
              <c:dLblPos val="t"/>
              <c:showLegendKey val="0"/>
              <c:showVal val="1"/>
              <c:showCatName val="1"/>
              <c:showSerName val="0"/>
              <c:showPercent val="0"/>
              <c:showBubbleSize val="0"/>
            </c:dLbl>
            <c:dLbl>
              <c:idx val="3"/>
              <c:layout/>
              <c:tx>
                <c:rich>
                  <a:bodyPr/>
                  <a:lstStyle/>
                  <a:p>
                    <a:r>
                      <a:rPr lang="en-US" sz="700"/>
                      <a:t>Distribution</a:t>
                    </a:r>
                    <a:endParaRPr lang="en-US"/>
                  </a:p>
                </c:rich>
              </c:tx>
              <c:dLblPos val="b"/>
              <c:showLegendKey val="0"/>
              <c:showVal val="1"/>
              <c:showCatName val="1"/>
              <c:showSerName val="0"/>
              <c:showPercent val="0"/>
              <c:showBubbleSize val="0"/>
            </c:dLbl>
            <c:dLbl>
              <c:idx val="4"/>
              <c:layout/>
              <c:tx>
                <c:rich>
                  <a:bodyPr/>
                  <a:lstStyle/>
                  <a:p>
                    <a:r>
                      <a:rPr lang="en-US" sz="700"/>
                      <a:t>Govt </a:t>
                    </a:r>
                    <a:br>
                      <a:rPr lang="en-US" sz="700"/>
                    </a:br>
                    <a:r>
                      <a:rPr lang="en-US" sz="700"/>
                      <a:t>services</a:t>
                    </a:r>
                    <a:endParaRPr lang="en-US"/>
                  </a:p>
                </c:rich>
              </c:tx>
              <c:dLblPos val="b"/>
              <c:showLegendKey val="0"/>
              <c:showVal val="1"/>
              <c:showCatName val="1"/>
              <c:showSerName val="0"/>
              <c:showPercent val="0"/>
              <c:showBubbleSize val="0"/>
            </c:dLbl>
            <c:dLbl>
              <c:idx val="5"/>
              <c:layout/>
              <c:tx>
                <c:rich>
                  <a:bodyPr/>
                  <a:lstStyle/>
                  <a:p>
                    <a:r>
                      <a:rPr lang="en-US" sz="700"/>
                      <a:t>Manufacturing</a:t>
                    </a:r>
                    <a:endParaRPr lang="en-US"/>
                  </a:p>
                </c:rich>
              </c:tx>
              <c:dLblPos val="b"/>
              <c:showLegendKey val="0"/>
              <c:showVal val="1"/>
              <c:showCatName val="1"/>
              <c:showSerName val="0"/>
              <c:showPercent val="0"/>
              <c:showBubbleSize val="0"/>
            </c:dLbl>
            <c:dLbl>
              <c:idx val="6"/>
              <c:layout/>
              <c:tx>
                <c:rich>
                  <a:bodyPr/>
                  <a:lstStyle/>
                  <a:p>
                    <a:r>
                      <a:rPr lang="en-US" sz="700"/>
                      <a:t>Finance</a:t>
                    </a:r>
                    <a:r>
                      <a:rPr lang="en-US" sz="700" baseline="0"/>
                      <a:t> &amp; </a:t>
                    </a:r>
                    <a:br>
                      <a:rPr lang="en-US" sz="700" baseline="0"/>
                    </a:br>
                    <a:r>
                      <a:rPr lang="en-US" sz="700" baseline="0"/>
                      <a:t>business</a:t>
                    </a:r>
                    <a:endParaRPr lang="en-US"/>
                  </a:p>
                </c:rich>
              </c:tx>
              <c:dLblPos val="t"/>
              <c:showLegendKey val="0"/>
              <c:showVal val="1"/>
              <c:showCatName val="1"/>
              <c:showSerName val="0"/>
              <c:showPercent val="0"/>
              <c:showBubbleSize val="0"/>
            </c:dLbl>
            <c:dLbl>
              <c:idx val="7"/>
              <c:layout/>
              <c:tx>
                <c:rich>
                  <a:bodyPr/>
                  <a:lstStyle/>
                  <a:p>
                    <a:r>
                      <a:rPr lang="en-US"/>
                      <a:t>Mining</a:t>
                    </a:r>
                  </a:p>
                </c:rich>
              </c:tx>
              <c:dLblPos val="l"/>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gaps1'!$E$6:$E$13</c:f>
              <c:numCache>
                <c:formatCode>#,##0.000</c:formatCode>
                <c:ptCount val="8"/>
                <c:pt idx="0">
                  <c:v>0.15026934587430527</c:v>
                </c:pt>
                <c:pt idx="1">
                  <c:v>0.26033476526281923</c:v>
                </c:pt>
                <c:pt idx="2">
                  <c:v>0.33900086188530748</c:v>
                </c:pt>
                <c:pt idx="3">
                  <c:v>0.59216888240689791</c:v>
                </c:pt>
                <c:pt idx="4">
                  <c:v>0.74690038477982046</c:v>
                </c:pt>
                <c:pt idx="5">
                  <c:v>0.8658572039333049</c:v>
                </c:pt>
                <c:pt idx="6">
                  <c:v>0.97913638306968798</c:v>
                </c:pt>
                <c:pt idx="7">
                  <c:v>1</c:v>
                </c:pt>
              </c:numCache>
            </c:numRef>
          </c:xVal>
          <c:yVal>
            <c:numRef>
              <c:f>'Productivity gaps1'!$F$6:$F$13</c:f>
              <c:numCache>
                <c:formatCode>#,##0.0</c:formatCode>
                <c:ptCount val="8"/>
                <c:pt idx="0">
                  <c:v>0.18156016966710073</c:v>
                </c:pt>
                <c:pt idx="1">
                  <c:v>0.59469739278945077</c:v>
                </c:pt>
                <c:pt idx="2">
                  <c:v>0.76571228354393439</c:v>
                </c:pt>
                <c:pt idx="3">
                  <c:v>1.0128632558992603</c:v>
                </c:pt>
                <c:pt idx="4">
                  <c:v>1.0520728502482102</c:v>
                </c:pt>
                <c:pt idx="5">
                  <c:v>1.5521556017400497</c:v>
                </c:pt>
                <c:pt idx="6">
                  <c:v>1.5736007615712337</c:v>
                </c:pt>
                <c:pt idx="7">
                  <c:v>3.1114817628236207</c:v>
                </c:pt>
              </c:numCache>
            </c:numRef>
          </c:yVal>
          <c:smooth val="0"/>
        </c:ser>
        <c:dLbls>
          <c:showLegendKey val="0"/>
          <c:showVal val="1"/>
          <c:showCatName val="0"/>
          <c:showSerName val="0"/>
          <c:showPercent val="0"/>
          <c:showBubbleSize val="0"/>
        </c:dLbls>
        <c:axId val="579646976"/>
        <c:axId val="579918464"/>
      </c:scatterChart>
      <c:valAx>
        <c:axId val="579646976"/>
        <c:scaling>
          <c:orientation val="minMax"/>
          <c:max val="1"/>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579918464"/>
        <c:crosses val="autoZero"/>
        <c:crossBetween val="midCat"/>
      </c:valAx>
      <c:valAx>
        <c:axId val="579918464"/>
        <c:scaling>
          <c:orientation val="minMax"/>
        </c:scaling>
        <c:delete val="0"/>
        <c:axPos val="l"/>
        <c:majorGridlines/>
        <c:title>
          <c:tx>
            <c:rich>
              <a:bodyPr rot="-5400000" vert="horz"/>
              <a:lstStyle/>
              <a:p>
                <a:pPr>
                  <a:defRPr b="0"/>
                </a:pPr>
                <a:r>
                  <a:rPr lang="en-US" b="0"/>
                  <a:t>Relative productivity</a:t>
                </a:r>
              </a:p>
            </c:rich>
          </c:tx>
          <c:layout/>
          <c:overlay val="0"/>
        </c:title>
        <c:numFmt formatCode="#,##0.0" sourceLinked="0"/>
        <c:majorTickMark val="out"/>
        <c:minorTickMark val="none"/>
        <c:tickLblPos val="nextTo"/>
        <c:crossAx val="579646976"/>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gaps1'!$I$5</c:f>
              <c:strCache>
                <c:ptCount val="1"/>
                <c:pt idx="0">
                  <c:v>Agriculture</c:v>
                </c:pt>
              </c:strCache>
            </c:strRef>
          </c:tx>
          <c:spPr>
            <a:solidFill>
              <a:schemeClr val="accent1"/>
            </a:solidFill>
          </c:spPr>
          <c:cat>
            <c:numRef>
              <c:f>'Productivity gaps1'!$H$6:$H$31</c:f>
              <c:numCache>
                <c:formatCode>0.00</c:formatCode>
                <c:ptCount val="26"/>
                <c:pt idx="0">
                  <c:v>0</c:v>
                </c:pt>
                <c:pt idx="1">
                  <c:v>0</c:v>
                </c:pt>
                <c:pt idx="2">
                  <c:v>7.5134672937152631</c:v>
                </c:pt>
                <c:pt idx="3">
                  <c:v>15.026934587430526</c:v>
                </c:pt>
                <c:pt idx="4">
                  <c:v>15.026934587430526</c:v>
                </c:pt>
                <c:pt idx="5">
                  <c:v>20.530205556856224</c:v>
                </c:pt>
                <c:pt idx="6">
                  <c:v>26.033476526281923</c:v>
                </c:pt>
                <c:pt idx="7">
                  <c:v>26.033476526281923</c:v>
                </c:pt>
                <c:pt idx="8">
                  <c:v>29.966781357406337</c:v>
                </c:pt>
                <c:pt idx="9">
                  <c:v>33.90008618853075</c:v>
                </c:pt>
                <c:pt idx="10">
                  <c:v>33.90008618853075</c:v>
                </c:pt>
                <c:pt idx="11">
                  <c:v>46.558487214610267</c:v>
                </c:pt>
                <c:pt idx="12">
                  <c:v>59.216888240689791</c:v>
                </c:pt>
                <c:pt idx="13">
                  <c:v>59.216888240689791</c:v>
                </c:pt>
                <c:pt idx="14">
                  <c:v>66.953463359335913</c:v>
                </c:pt>
                <c:pt idx="15">
                  <c:v>74.690038477982043</c:v>
                </c:pt>
                <c:pt idx="16">
                  <c:v>74.690038477982043</c:v>
                </c:pt>
                <c:pt idx="17">
                  <c:v>80.637879435656259</c:v>
                </c:pt>
                <c:pt idx="18">
                  <c:v>86.58572039333049</c:v>
                </c:pt>
                <c:pt idx="19">
                  <c:v>86.58572039333049</c:v>
                </c:pt>
                <c:pt idx="20">
                  <c:v>92.249679350149648</c:v>
                </c:pt>
                <c:pt idx="21">
                  <c:v>97.913638306968792</c:v>
                </c:pt>
                <c:pt idx="22">
                  <c:v>97.913638306968792</c:v>
                </c:pt>
                <c:pt idx="23">
                  <c:v>98.956819153484389</c:v>
                </c:pt>
                <c:pt idx="24">
                  <c:v>100</c:v>
                </c:pt>
                <c:pt idx="25">
                  <c:v>100</c:v>
                </c:pt>
              </c:numCache>
            </c:numRef>
          </c:cat>
          <c:val>
            <c:numRef>
              <c:f>'Productivity gaps1'!$I$6:$I$31</c:f>
              <c:numCache>
                <c:formatCode>#,##0.0</c:formatCode>
                <c:ptCount val="26"/>
                <c:pt idx="0" formatCode="General">
                  <c:v>0</c:v>
                </c:pt>
                <c:pt idx="1">
                  <c:v>0.18156016966710073</c:v>
                </c:pt>
                <c:pt idx="2">
                  <c:v>0.18156016966710073</c:v>
                </c:pt>
                <c:pt idx="3">
                  <c:v>0.18156016966710073</c:v>
                </c:pt>
                <c:pt idx="4" formatCode="General">
                  <c:v>0</c:v>
                </c:pt>
              </c:numCache>
            </c:numRef>
          </c:val>
        </c:ser>
        <c:ser>
          <c:idx val="1"/>
          <c:order val="1"/>
          <c:tx>
            <c:strRef>
              <c:f>'Productivity gaps1'!$J$5</c:f>
              <c:strCache>
                <c:ptCount val="1"/>
                <c:pt idx="0">
                  <c:v>Other non market services</c:v>
                </c:pt>
              </c:strCache>
            </c:strRef>
          </c:tx>
          <c:spPr>
            <a:solidFill>
              <a:schemeClr val="accent3">
                <a:lumMod val="25000"/>
              </a:schemeClr>
            </a:solidFill>
          </c:spPr>
          <c:cat>
            <c:numRef>
              <c:f>'Productivity gaps1'!$H$6:$H$31</c:f>
              <c:numCache>
                <c:formatCode>0.00</c:formatCode>
                <c:ptCount val="26"/>
                <c:pt idx="0">
                  <c:v>0</c:v>
                </c:pt>
                <c:pt idx="1">
                  <c:v>0</c:v>
                </c:pt>
                <c:pt idx="2">
                  <c:v>7.5134672937152631</c:v>
                </c:pt>
                <c:pt idx="3">
                  <c:v>15.026934587430526</c:v>
                </c:pt>
                <c:pt idx="4">
                  <c:v>15.026934587430526</c:v>
                </c:pt>
                <c:pt idx="5">
                  <c:v>20.530205556856224</c:v>
                </c:pt>
                <c:pt idx="6">
                  <c:v>26.033476526281923</c:v>
                </c:pt>
                <c:pt idx="7">
                  <c:v>26.033476526281923</c:v>
                </c:pt>
                <c:pt idx="8">
                  <c:v>29.966781357406337</c:v>
                </c:pt>
                <c:pt idx="9">
                  <c:v>33.90008618853075</c:v>
                </c:pt>
                <c:pt idx="10">
                  <c:v>33.90008618853075</c:v>
                </c:pt>
                <c:pt idx="11">
                  <c:v>46.558487214610267</c:v>
                </c:pt>
                <c:pt idx="12">
                  <c:v>59.216888240689791</c:v>
                </c:pt>
                <c:pt idx="13">
                  <c:v>59.216888240689791</c:v>
                </c:pt>
                <c:pt idx="14">
                  <c:v>66.953463359335913</c:v>
                </c:pt>
                <c:pt idx="15">
                  <c:v>74.690038477982043</c:v>
                </c:pt>
                <c:pt idx="16">
                  <c:v>74.690038477982043</c:v>
                </c:pt>
                <c:pt idx="17">
                  <c:v>80.637879435656259</c:v>
                </c:pt>
                <c:pt idx="18">
                  <c:v>86.58572039333049</c:v>
                </c:pt>
                <c:pt idx="19">
                  <c:v>86.58572039333049</c:v>
                </c:pt>
                <c:pt idx="20">
                  <c:v>92.249679350149648</c:v>
                </c:pt>
                <c:pt idx="21">
                  <c:v>97.913638306968792</c:v>
                </c:pt>
                <c:pt idx="22">
                  <c:v>97.913638306968792</c:v>
                </c:pt>
                <c:pt idx="23">
                  <c:v>98.956819153484389</c:v>
                </c:pt>
                <c:pt idx="24">
                  <c:v>100</c:v>
                </c:pt>
                <c:pt idx="25">
                  <c:v>100</c:v>
                </c:pt>
              </c:numCache>
            </c:numRef>
          </c:cat>
          <c:val>
            <c:numRef>
              <c:f>'Productivity gaps1'!$J$6:$J$31</c:f>
              <c:numCache>
                <c:formatCode>General</c:formatCode>
                <c:ptCount val="26"/>
                <c:pt idx="3">
                  <c:v>0</c:v>
                </c:pt>
                <c:pt idx="4" formatCode="#,##0.000">
                  <c:v>0.59469739278945077</c:v>
                </c:pt>
                <c:pt idx="5" formatCode="#,##0.000">
                  <c:v>0.59469739278945077</c:v>
                </c:pt>
                <c:pt idx="6" formatCode="#,##0.000">
                  <c:v>0.59469739278945077</c:v>
                </c:pt>
                <c:pt idx="7">
                  <c:v>0</c:v>
                </c:pt>
              </c:numCache>
            </c:numRef>
          </c:val>
        </c:ser>
        <c:ser>
          <c:idx val="2"/>
          <c:order val="2"/>
          <c:tx>
            <c:strRef>
              <c:f>'Productivity gaps1'!$K$5</c:f>
              <c:strCache>
                <c:ptCount val="1"/>
                <c:pt idx="0">
                  <c:v>Other industry</c:v>
                </c:pt>
              </c:strCache>
            </c:strRef>
          </c:tx>
          <c:spPr>
            <a:solidFill>
              <a:schemeClr val="accent5">
                <a:lumMod val="50000"/>
              </a:schemeClr>
            </a:solidFill>
          </c:spPr>
          <c:cat>
            <c:numRef>
              <c:f>'Productivity gaps1'!$H$6:$H$31</c:f>
              <c:numCache>
                <c:formatCode>0.00</c:formatCode>
                <c:ptCount val="26"/>
                <c:pt idx="0">
                  <c:v>0</c:v>
                </c:pt>
                <c:pt idx="1">
                  <c:v>0</c:v>
                </c:pt>
                <c:pt idx="2">
                  <c:v>7.5134672937152631</c:v>
                </c:pt>
                <c:pt idx="3">
                  <c:v>15.026934587430526</c:v>
                </c:pt>
                <c:pt idx="4">
                  <c:v>15.026934587430526</c:v>
                </c:pt>
                <c:pt idx="5">
                  <c:v>20.530205556856224</c:v>
                </c:pt>
                <c:pt idx="6">
                  <c:v>26.033476526281923</c:v>
                </c:pt>
                <c:pt idx="7">
                  <c:v>26.033476526281923</c:v>
                </c:pt>
                <c:pt idx="8">
                  <c:v>29.966781357406337</c:v>
                </c:pt>
                <c:pt idx="9">
                  <c:v>33.90008618853075</c:v>
                </c:pt>
                <c:pt idx="10">
                  <c:v>33.90008618853075</c:v>
                </c:pt>
                <c:pt idx="11">
                  <c:v>46.558487214610267</c:v>
                </c:pt>
                <c:pt idx="12">
                  <c:v>59.216888240689791</c:v>
                </c:pt>
                <c:pt idx="13">
                  <c:v>59.216888240689791</c:v>
                </c:pt>
                <c:pt idx="14">
                  <c:v>66.953463359335913</c:v>
                </c:pt>
                <c:pt idx="15">
                  <c:v>74.690038477982043</c:v>
                </c:pt>
                <c:pt idx="16">
                  <c:v>74.690038477982043</c:v>
                </c:pt>
                <c:pt idx="17">
                  <c:v>80.637879435656259</c:v>
                </c:pt>
                <c:pt idx="18">
                  <c:v>86.58572039333049</c:v>
                </c:pt>
                <c:pt idx="19">
                  <c:v>86.58572039333049</c:v>
                </c:pt>
                <c:pt idx="20">
                  <c:v>92.249679350149648</c:v>
                </c:pt>
                <c:pt idx="21">
                  <c:v>97.913638306968792</c:v>
                </c:pt>
                <c:pt idx="22">
                  <c:v>97.913638306968792</c:v>
                </c:pt>
                <c:pt idx="23">
                  <c:v>98.956819153484389</c:v>
                </c:pt>
                <c:pt idx="24">
                  <c:v>100</c:v>
                </c:pt>
                <c:pt idx="25">
                  <c:v>100</c:v>
                </c:pt>
              </c:numCache>
            </c:numRef>
          </c:cat>
          <c:val>
            <c:numRef>
              <c:f>'Productivity gaps1'!$K$6:$K$31</c:f>
              <c:numCache>
                <c:formatCode>General</c:formatCode>
                <c:ptCount val="26"/>
                <c:pt idx="6">
                  <c:v>0</c:v>
                </c:pt>
                <c:pt idx="7" formatCode="#,##0.000">
                  <c:v>0.76571228354393439</c:v>
                </c:pt>
                <c:pt idx="8" formatCode="#,##0.000">
                  <c:v>0.76571228354393439</c:v>
                </c:pt>
                <c:pt idx="9" formatCode="#,##0.000">
                  <c:v>0.76571228354393439</c:v>
                </c:pt>
                <c:pt idx="10">
                  <c:v>0</c:v>
                </c:pt>
              </c:numCache>
            </c:numRef>
          </c:val>
        </c:ser>
        <c:ser>
          <c:idx val="3"/>
          <c:order val="3"/>
          <c:tx>
            <c:strRef>
              <c:f>'Productivity gaps1'!$L$5</c:f>
              <c:strCache>
                <c:ptCount val="1"/>
                <c:pt idx="0">
                  <c:v>Distribution services</c:v>
                </c:pt>
              </c:strCache>
            </c:strRef>
          </c:tx>
          <c:spPr>
            <a:solidFill>
              <a:schemeClr val="accent3"/>
            </a:solidFill>
          </c:spPr>
          <c:cat>
            <c:numRef>
              <c:f>'Productivity gaps1'!$H$6:$H$31</c:f>
              <c:numCache>
                <c:formatCode>0.00</c:formatCode>
                <c:ptCount val="26"/>
                <c:pt idx="0">
                  <c:v>0</c:v>
                </c:pt>
                <c:pt idx="1">
                  <c:v>0</c:v>
                </c:pt>
                <c:pt idx="2">
                  <c:v>7.5134672937152631</c:v>
                </c:pt>
                <c:pt idx="3">
                  <c:v>15.026934587430526</c:v>
                </c:pt>
                <c:pt idx="4">
                  <c:v>15.026934587430526</c:v>
                </c:pt>
                <c:pt idx="5">
                  <c:v>20.530205556856224</c:v>
                </c:pt>
                <c:pt idx="6">
                  <c:v>26.033476526281923</c:v>
                </c:pt>
                <c:pt idx="7">
                  <c:v>26.033476526281923</c:v>
                </c:pt>
                <c:pt idx="8">
                  <c:v>29.966781357406337</c:v>
                </c:pt>
                <c:pt idx="9">
                  <c:v>33.90008618853075</c:v>
                </c:pt>
                <c:pt idx="10">
                  <c:v>33.90008618853075</c:v>
                </c:pt>
                <c:pt idx="11">
                  <c:v>46.558487214610267</c:v>
                </c:pt>
                <c:pt idx="12">
                  <c:v>59.216888240689791</c:v>
                </c:pt>
                <c:pt idx="13">
                  <c:v>59.216888240689791</c:v>
                </c:pt>
                <c:pt idx="14">
                  <c:v>66.953463359335913</c:v>
                </c:pt>
                <c:pt idx="15">
                  <c:v>74.690038477982043</c:v>
                </c:pt>
                <c:pt idx="16">
                  <c:v>74.690038477982043</c:v>
                </c:pt>
                <c:pt idx="17">
                  <c:v>80.637879435656259</c:v>
                </c:pt>
                <c:pt idx="18">
                  <c:v>86.58572039333049</c:v>
                </c:pt>
                <c:pt idx="19">
                  <c:v>86.58572039333049</c:v>
                </c:pt>
                <c:pt idx="20">
                  <c:v>92.249679350149648</c:v>
                </c:pt>
                <c:pt idx="21">
                  <c:v>97.913638306968792</c:v>
                </c:pt>
                <c:pt idx="22">
                  <c:v>97.913638306968792</c:v>
                </c:pt>
                <c:pt idx="23">
                  <c:v>98.956819153484389</c:v>
                </c:pt>
                <c:pt idx="24">
                  <c:v>100</c:v>
                </c:pt>
                <c:pt idx="25">
                  <c:v>100</c:v>
                </c:pt>
              </c:numCache>
            </c:numRef>
          </c:cat>
          <c:val>
            <c:numRef>
              <c:f>'Productivity gaps1'!$L$6:$L$31</c:f>
              <c:numCache>
                <c:formatCode>General</c:formatCode>
                <c:ptCount val="26"/>
                <c:pt idx="9">
                  <c:v>0</c:v>
                </c:pt>
                <c:pt idx="10" formatCode="#,##0.0">
                  <c:v>1.0128632558992603</c:v>
                </c:pt>
                <c:pt idx="11" formatCode="#,##0.0">
                  <c:v>1.0128632558992603</c:v>
                </c:pt>
                <c:pt idx="12" formatCode="#,##0.0">
                  <c:v>1.0128632558992603</c:v>
                </c:pt>
                <c:pt idx="13">
                  <c:v>0</c:v>
                </c:pt>
              </c:numCache>
            </c:numRef>
          </c:val>
        </c:ser>
        <c:ser>
          <c:idx val="4"/>
          <c:order val="4"/>
          <c:tx>
            <c:strRef>
              <c:f>'Productivity gaps1'!$M$5</c:f>
              <c:strCache>
                <c:ptCount val="1"/>
                <c:pt idx="0">
                  <c:v>Government services</c:v>
                </c:pt>
              </c:strCache>
            </c:strRef>
          </c:tx>
          <c:spPr>
            <a:solidFill>
              <a:schemeClr val="accent2"/>
            </a:solidFill>
          </c:spPr>
          <c:cat>
            <c:numRef>
              <c:f>'Productivity gaps1'!$H$6:$H$31</c:f>
              <c:numCache>
                <c:formatCode>0.00</c:formatCode>
                <c:ptCount val="26"/>
                <c:pt idx="0">
                  <c:v>0</c:v>
                </c:pt>
                <c:pt idx="1">
                  <c:v>0</c:v>
                </c:pt>
                <c:pt idx="2">
                  <c:v>7.5134672937152631</c:v>
                </c:pt>
                <c:pt idx="3">
                  <c:v>15.026934587430526</c:v>
                </c:pt>
                <c:pt idx="4">
                  <c:v>15.026934587430526</c:v>
                </c:pt>
                <c:pt idx="5">
                  <c:v>20.530205556856224</c:v>
                </c:pt>
                <c:pt idx="6">
                  <c:v>26.033476526281923</c:v>
                </c:pt>
                <c:pt idx="7">
                  <c:v>26.033476526281923</c:v>
                </c:pt>
                <c:pt idx="8">
                  <c:v>29.966781357406337</c:v>
                </c:pt>
                <c:pt idx="9">
                  <c:v>33.90008618853075</c:v>
                </c:pt>
                <c:pt idx="10">
                  <c:v>33.90008618853075</c:v>
                </c:pt>
                <c:pt idx="11">
                  <c:v>46.558487214610267</c:v>
                </c:pt>
                <c:pt idx="12">
                  <c:v>59.216888240689791</c:v>
                </c:pt>
                <c:pt idx="13">
                  <c:v>59.216888240689791</c:v>
                </c:pt>
                <c:pt idx="14">
                  <c:v>66.953463359335913</c:v>
                </c:pt>
                <c:pt idx="15">
                  <c:v>74.690038477982043</c:v>
                </c:pt>
                <c:pt idx="16">
                  <c:v>74.690038477982043</c:v>
                </c:pt>
                <c:pt idx="17">
                  <c:v>80.637879435656259</c:v>
                </c:pt>
                <c:pt idx="18">
                  <c:v>86.58572039333049</c:v>
                </c:pt>
                <c:pt idx="19">
                  <c:v>86.58572039333049</c:v>
                </c:pt>
                <c:pt idx="20">
                  <c:v>92.249679350149648</c:v>
                </c:pt>
                <c:pt idx="21">
                  <c:v>97.913638306968792</c:v>
                </c:pt>
                <c:pt idx="22">
                  <c:v>97.913638306968792</c:v>
                </c:pt>
                <c:pt idx="23">
                  <c:v>98.956819153484389</c:v>
                </c:pt>
                <c:pt idx="24">
                  <c:v>100</c:v>
                </c:pt>
                <c:pt idx="25">
                  <c:v>100</c:v>
                </c:pt>
              </c:numCache>
            </c:numRef>
          </c:cat>
          <c:val>
            <c:numRef>
              <c:f>'Productivity gaps1'!$M$6:$M$31</c:f>
              <c:numCache>
                <c:formatCode>General</c:formatCode>
                <c:ptCount val="26"/>
                <c:pt idx="12">
                  <c:v>0</c:v>
                </c:pt>
                <c:pt idx="13" formatCode="#,##0.0">
                  <c:v>1.0520728502482102</c:v>
                </c:pt>
                <c:pt idx="14" formatCode="#,##0.0">
                  <c:v>1.0520728502482102</c:v>
                </c:pt>
                <c:pt idx="15" formatCode="#,##0.0">
                  <c:v>1.0520728502482102</c:v>
                </c:pt>
                <c:pt idx="16">
                  <c:v>0</c:v>
                </c:pt>
              </c:numCache>
            </c:numRef>
          </c:val>
        </c:ser>
        <c:ser>
          <c:idx val="5"/>
          <c:order val="5"/>
          <c:tx>
            <c:strRef>
              <c:f>'Productivity gaps1'!$N$5</c:f>
              <c:strCache>
                <c:ptCount val="1"/>
                <c:pt idx="0">
                  <c:v>Manufacturing</c:v>
                </c:pt>
              </c:strCache>
            </c:strRef>
          </c:tx>
          <c:spPr>
            <a:solidFill>
              <a:schemeClr val="bg1">
                <a:lumMod val="65000"/>
              </a:schemeClr>
            </a:solidFill>
          </c:spPr>
          <c:cat>
            <c:numRef>
              <c:f>'Productivity gaps1'!$H$6:$H$31</c:f>
              <c:numCache>
                <c:formatCode>0.00</c:formatCode>
                <c:ptCount val="26"/>
                <c:pt idx="0">
                  <c:v>0</c:v>
                </c:pt>
                <c:pt idx="1">
                  <c:v>0</c:v>
                </c:pt>
                <c:pt idx="2">
                  <c:v>7.5134672937152631</c:v>
                </c:pt>
                <c:pt idx="3">
                  <c:v>15.026934587430526</c:v>
                </c:pt>
                <c:pt idx="4">
                  <c:v>15.026934587430526</c:v>
                </c:pt>
                <c:pt idx="5">
                  <c:v>20.530205556856224</c:v>
                </c:pt>
                <c:pt idx="6">
                  <c:v>26.033476526281923</c:v>
                </c:pt>
                <c:pt idx="7">
                  <c:v>26.033476526281923</c:v>
                </c:pt>
                <c:pt idx="8">
                  <c:v>29.966781357406337</c:v>
                </c:pt>
                <c:pt idx="9">
                  <c:v>33.90008618853075</c:v>
                </c:pt>
                <c:pt idx="10">
                  <c:v>33.90008618853075</c:v>
                </c:pt>
                <c:pt idx="11">
                  <c:v>46.558487214610267</c:v>
                </c:pt>
                <c:pt idx="12">
                  <c:v>59.216888240689791</c:v>
                </c:pt>
                <c:pt idx="13">
                  <c:v>59.216888240689791</c:v>
                </c:pt>
                <c:pt idx="14">
                  <c:v>66.953463359335913</c:v>
                </c:pt>
                <c:pt idx="15">
                  <c:v>74.690038477982043</c:v>
                </c:pt>
                <c:pt idx="16">
                  <c:v>74.690038477982043</c:v>
                </c:pt>
                <c:pt idx="17">
                  <c:v>80.637879435656259</c:v>
                </c:pt>
                <c:pt idx="18">
                  <c:v>86.58572039333049</c:v>
                </c:pt>
                <c:pt idx="19">
                  <c:v>86.58572039333049</c:v>
                </c:pt>
                <c:pt idx="20">
                  <c:v>92.249679350149648</c:v>
                </c:pt>
                <c:pt idx="21">
                  <c:v>97.913638306968792</c:v>
                </c:pt>
                <c:pt idx="22">
                  <c:v>97.913638306968792</c:v>
                </c:pt>
                <c:pt idx="23">
                  <c:v>98.956819153484389</c:v>
                </c:pt>
                <c:pt idx="24">
                  <c:v>100</c:v>
                </c:pt>
                <c:pt idx="25">
                  <c:v>100</c:v>
                </c:pt>
              </c:numCache>
            </c:numRef>
          </c:cat>
          <c:val>
            <c:numRef>
              <c:f>'Productivity gaps1'!$N$6:$N$31</c:f>
              <c:numCache>
                <c:formatCode>General</c:formatCode>
                <c:ptCount val="26"/>
                <c:pt idx="15">
                  <c:v>0</c:v>
                </c:pt>
                <c:pt idx="16" formatCode="#,##0.0">
                  <c:v>1.5521556017400497</c:v>
                </c:pt>
                <c:pt idx="17" formatCode="#,##0.0">
                  <c:v>1.5521556017400497</c:v>
                </c:pt>
                <c:pt idx="18" formatCode="#,##0.0">
                  <c:v>1.5521556017400497</c:v>
                </c:pt>
                <c:pt idx="19">
                  <c:v>0</c:v>
                </c:pt>
              </c:numCache>
            </c:numRef>
          </c:val>
        </c:ser>
        <c:ser>
          <c:idx val="6"/>
          <c:order val="6"/>
          <c:tx>
            <c:strRef>
              <c:f>'Productivity gaps1'!$O$5</c:f>
              <c:strCache>
                <c:ptCount val="1"/>
                <c:pt idx="0">
                  <c:v>Finance and business services</c:v>
                </c:pt>
              </c:strCache>
            </c:strRef>
          </c:tx>
          <c:spPr>
            <a:solidFill>
              <a:schemeClr val="accent5"/>
            </a:solidFill>
          </c:spPr>
          <c:cat>
            <c:numRef>
              <c:f>'Productivity gaps1'!$H$6:$H$31</c:f>
              <c:numCache>
                <c:formatCode>0.00</c:formatCode>
                <c:ptCount val="26"/>
                <c:pt idx="0">
                  <c:v>0</c:v>
                </c:pt>
                <c:pt idx="1">
                  <c:v>0</c:v>
                </c:pt>
                <c:pt idx="2">
                  <c:v>7.5134672937152631</c:v>
                </c:pt>
                <c:pt idx="3">
                  <c:v>15.026934587430526</c:v>
                </c:pt>
                <c:pt idx="4">
                  <c:v>15.026934587430526</c:v>
                </c:pt>
                <c:pt idx="5">
                  <c:v>20.530205556856224</c:v>
                </c:pt>
                <c:pt idx="6">
                  <c:v>26.033476526281923</c:v>
                </c:pt>
                <c:pt idx="7">
                  <c:v>26.033476526281923</c:v>
                </c:pt>
                <c:pt idx="8">
                  <c:v>29.966781357406337</c:v>
                </c:pt>
                <c:pt idx="9">
                  <c:v>33.90008618853075</c:v>
                </c:pt>
                <c:pt idx="10">
                  <c:v>33.90008618853075</c:v>
                </c:pt>
                <c:pt idx="11">
                  <c:v>46.558487214610267</c:v>
                </c:pt>
                <c:pt idx="12">
                  <c:v>59.216888240689791</c:v>
                </c:pt>
                <c:pt idx="13">
                  <c:v>59.216888240689791</c:v>
                </c:pt>
                <c:pt idx="14">
                  <c:v>66.953463359335913</c:v>
                </c:pt>
                <c:pt idx="15">
                  <c:v>74.690038477982043</c:v>
                </c:pt>
                <c:pt idx="16">
                  <c:v>74.690038477982043</c:v>
                </c:pt>
                <c:pt idx="17">
                  <c:v>80.637879435656259</c:v>
                </c:pt>
                <c:pt idx="18">
                  <c:v>86.58572039333049</c:v>
                </c:pt>
                <c:pt idx="19">
                  <c:v>86.58572039333049</c:v>
                </c:pt>
                <c:pt idx="20">
                  <c:v>92.249679350149648</c:v>
                </c:pt>
                <c:pt idx="21">
                  <c:v>97.913638306968792</c:v>
                </c:pt>
                <c:pt idx="22">
                  <c:v>97.913638306968792</c:v>
                </c:pt>
                <c:pt idx="23">
                  <c:v>98.956819153484389</c:v>
                </c:pt>
                <c:pt idx="24">
                  <c:v>100</c:v>
                </c:pt>
                <c:pt idx="25">
                  <c:v>100</c:v>
                </c:pt>
              </c:numCache>
            </c:numRef>
          </c:cat>
          <c:val>
            <c:numRef>
              <c:f>'Productivity gaps1'!$O$6:$O$31</c:f>
              <c:numCache>
                <c:formatCode>General</c:formatCode>
                <c:ptCount val="26"/>
                <c:pt idx="18">
                  <c:v>0</c:v>
                </c:pt>
                <c:pt idx="19" formatCode="#,##0.0">
                  <c:v>1.5736007615712337</c:v>
                </c:pt>
                <c:pt idx="20" formatCode="#,##0.0">
                  <c:v>1.5736007615712337</c:v>
                </c:pt>
                <c:pt idx="21" formatCode="#,##0.0">
                  <c:v>1.5736007615712337</c:v>
                </c:pt>
                <c:pt idx="22">
                  <c:v>0</c:v>
                </c:pt>
              </c:numCache>
            </c:numRef>
          </c:val>
        </c:ser>
        <c:ser>
          <c:idx val="7"/>
          <c:order val="7"/>
          <c:tx>
            <c:strRef>
              <c:f>'Productivity gaps1'!$P$5</c:f>
              <c:strCache>
                <c:ptCount val="1"/>
                <c:pt idx="0">
                  <c:v>Mining</c:v>
                </c:pt>
              </c:strCache>
            </c:strRef>
          </c:tx>
          <c:spPr>
            <a:solidFill>
              <a:schemeClr val="accent5">
                <a:lumMod val="60000"/>
                <a:lumOff val="40000"/>
              </a:schemeClr>
            </a:solidFill>
          </c:spPr>
          <c:cat>
            <c:numRef>
              <c:f>'Productivity gaps1'!$H$6:$H$31</c:f>
              <c:numCache>
                <c:formatCode>0.00</c:formatCode>
                <c:ptCount val="26"/>
                <c:pt idx="0">
                  <c:v>0</c:v>
                </c:pt>
                <c:pt idx="1">
                  <c:v>0</c:v>
                </c:pt>
                <c:pt idx="2">
                  <c:v>7.5134672937152631</c:v>
                </c:pt>
                <c:pt idx="3">
                  <c:v>15.026934587430526</c:v>
                </c:pt>
                <c:pt idx="4">
                  <c:v>15.026934587430526</c:v>
                </c:pt>
                <c:pt idx="5">
                  <c:v>20.530205556856224</c:v>
                </c:pt>
                <c:pt idx="6">
                  <c:v>26.033476526281923</c:v>
                </c:pt>
                <c:pt idx="7">
                  <c:v>26.033476526281923</c:v>
                </c:pt>
                <c:pt idx="8">
                  <c:v>29.966781357406337</c:v>
                </c:pt>
                <c:pt idx="9">
                  <c:v>33.90008618853075</c:v>
                </c:pt>
                <c:pt idx="10">
                  <c:v>33.90008618853075</c:v>
                </c:pt>
                <c:pt idx="11">
                  <c:v>46.558487214610267</c:v>
                </c:pt>
                <c:pt idx="12">
                  <c:v>59.216888240689791</c:v>
                </c:pt>
                <c:pt idx="13">
                  <c:v>59.216888240689791</c:v>
                </c:pt>
                <c:pt idx="14">
                  <c:v>66.953463359335913</c:v>
                </c:pt>
                <c:pt idx="15">
                  <c:v>74.690038477982043</c:v>
                </c:pt>
                <c:pt idx="16">
                  <c:v>74.690038477982043</c:v>
                </c:pt>
                <c:pt idx="17">
                  <c:v>80.637879435656259</c:v>
                </c:pt>
                <c:pt idx="18">
                  <c:v>86.58572039333049</c:v>
                </c:pt>
                <c:pt idx="19">
                  <c:v>86.58572039333049</c:v>
                </c:pt>
                <c:pt idx="20">
                  <c:v>92.249679350149648</c:v>
                </c:pt>
                <c:pt idx="21">
                  <c:v>97.913638306968792</c:v>
                </c:pt>
                <c:pt idx="22">
                  <c:v>97.913638306968792</c:v>
                </c:pt>
                <c:pt idx="23">
                  <c:v>98.956819153484389</c:v>
                </c:pt>
                <c:pt idx="24">
                  <c:v>100</c:v>
                </c:pt>
                <c:pt idx="25">
                  <c:v>100</c:v>
                </c:pt>
              </c:numCache>
            </c:numRef>
          </c:cat>
          <c:val>
            <c:numRef>
              <c:f>'Productivity gaps1'!$P$6:$P$31</c:f>
              <c:numCache>
                <c:formatCode>General</c:formatCode>
                <c:ptCount val="26"/>
                <c:pt idx="21">
                  <c:v>0</c:v>
                </c:pt>
                <c:pt idx="22" formatCode="#,##0.0">
                  <c:v>3.1114817628236207</c:v>
                </c:pt>
                <c:pt idx="23" formatCode="#,##0.0">
                  <c:v>3.1114817628236207</c:v>
                </c:pt>
                <c:pt idx="24" formatCode="#,##0.0">
                  <c:v>3.1114817628236207</c:v>
                </c:pt>
                <c:pt idx="25">
                  <c:v>0</c:v>
                </c:pt>
              </c:numCache>
            </c:numRef>
          </c:val>
        </c:ser>
        <c:dLbls>
          <c:showLegendKey val="0"/>
          <c:showVal val="0"/>
          <c:showCatName val="0"/>
          <c:showSerName val="0"/>
          <c:showPercent val="0"/>
          <c:showBubbleSize val="0"/>
        </c:dLbls>
        <c:axId val="581599232"/>
        <c:axId val="581601536"/>
      </c:areaChart>
      <c:dateAx>
        <c:axId val="581599232"/>
        <c:scaling>
          <c:orientation val="minMax"/>
          <c:max val="100"/>
        </c:scaling>
        <c:delete val="0"/>
        <c:axPos val="b"/>
        <c:title>
          <c:tx>
            <c:rich>
              <a:bodyPr/>
              <a:lstStyle/>
              <a:p>
                <a:pPr>
                  <a:defRPr b="0"/>
                </a:pPr>
                <a:r>
                  <a:rPr lang="en-GB" b="0"/>
                  <a:t>Cumulative share of persons engaged (%)</a:t>
                </a:r>
              </a:p>
            </c:rich>
          </c:tx>
          <c:layout/>
          <c:overlay val="0"/>
        </c:title>
        <c:numFmt formatCode="0" sourceLinked="0"/>
        <c:majorTickMark val="out"/>
        <c:minorTickMark val="none"/>
        <c:tickLblPos val="nextTo"/>
        <c:crossAx val="581601536"/>
        <c:crosses val="autoZero"/>
        <c:auto val="0"/>
        <c:lblOffset val="100"/>
        <c:baseTimeUnit val="days"/>
        <c:majorUnit val="10"/>
        <c:majorTimeUnit val="days"/>
      </c:dateAx>
      <c:valAx>
        <c:axId val="581601536"/>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581599232"/>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emp1'!$C$6:$H$6</c:f>
              <c:numCache>
                <c:formatCode>0%</c:formatCode>
                <c:ptCount val="6"/>
                <c:pt idx="0">
                  <c:v>0.64173647667709188</c:v>
                </c:pt>
                <c:pt idx="1">
                  <c:v>0.69698411239176727</c:v>
                </c:pt>
                <c:pt idx="2">
                  <c:v>0.72777034421398878</c:v>
                </c:pt>
                <c:pt idx="3">
                  <c:v>0.60132158590308371</c:v>
                </c:pt>
                <c:pt idx="4">
                  <c:v>0.66216216216216217</c:v>
                </c:pt>
                <c:pt idx="5">
                  <c:v>0.66040688575899842</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emp1'!$J$6:$O$6</c:f>
              <c:numCache>
                <c:formatCode>0%</c:formatCode>
                <c:ptCount val="6"/>
                <c:pt idx="0">
                  <c:v>0.35826352332290812</c:v>
                </c:pt>
                <c:pt idx="1">
                  <c:v>0.30301588760823278</c:v>
                </c:pt>
                <c:pt idx="2">
                  <c:v>0.27222965578601122</c:v>
                </c:pt>
                <c:pt idx="3">
                  <c:v>0.39867841409691629</c:v>
                </c:pt>
                <c:pt idx="4">
                  <c:v>0.33783783783783783</c:v>
                </c:pt>
                <c:pt idx="5">
                  <c:v>0.33959311424100164</c:v>
                </c:pt>
              </c:numCache>
            </c:numRef>
          </c:val>
        </c:ser>
        <c:dLbls>
          <c:showLegendKey val="0"/>
          <c:showVal val="0"/>
          <c:showCatName val="0"/>
          <c:showSerName val="0"/>
          <c:showPercent val="0"/>
          <c:showBubbleSize val="0"/>
        </c:dLbls>
        <c:gapWidth val="150"/>
        <c:axId val="590591488"/>
        <c:axId val="590593024"/>
      </c:barChart>
      <c:catAx>
        <c:axId val="590591488"/>
        <c:scaling>
          <c:orientation val="minMax"/>
        </c:scaling>
        <c:delete val="0"/>
        <c:axPos val="b"/>
        <c:numFmt formatCode="General" sourceLinked="1"/>
        <c:majorTickMark val="out"/>
        <c:minorTickMark val="none"/>
        <c:tickLblPos val="nextTo"/>
        <c:txPr>
          <a:bodyPr/>
          <a:lstStyle/>
          <a:p>
            <a:pPr>
              <a:defRPr sz="700"/>
            </a:pPr>
            <a:endParaRPr lang="en-US"/>
          </a:p>
        </c:txPr>
        <c:crossAx val="590593024"/>
        <c:crosses val="autoZero"/>
        <c:auto val="1"/>
        <c:lblAlgn val="ctr"/>
        <c:lblOffset val="100"/>
        <c:noMultiLvlLbl val="0"/>
      </c:catAx>
      <c:valAx>
        <c:axId val="59059302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590591488"/>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emp1'!$C$7:$H$7</c:f>
              <c:numCache>
                <c:formatCode>0%</c:formatCode>
                <c:ptCount val="6"/>
                <c:pt idx="0">
                  <c:v>0.99021875881854959</c:v>
                </c:pt>
                <c:pt idx="1">
                  <c:v>0.98547355418920346</c:v>
                </c:pt>
                <c:pt idx="2">
                  <c:v>0.96868329916887863</c:v>
                </c:pt>
                <c:pt idx="3">
                  <c:v>0.9675174013921114</c:v>
                </c:pt>
                <c:pt idx="4">
                  <c:v>0.94460641399416889</c:v>
                </c:pt>
                <c:pt idx="5">
                  <c:v>0.88196721311475412</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emp1'!$J$7:$O$7</c:f>
              <c:numCache>
                <c:formatCode>0%</c:formatCode>
                <c:ptCount val="6"/>
                <c:pt idx="0">
                  <c:v>9.7812411814504532E-3</c:v>
                </c:pt>
                <c:pt idx="1">
                  <c:v>1.4526445810796528E-2</c:v>
                </c:pt>
                <c:pt idx="2">
                  <c:v>3.1316700831121362E-2</c:v>
                </c:pt>
                <c:pt idx="3">
                  <c:v>3.2482598607888574E-2</c:v>
                </c:pt>
                <c:pt idx="4">
                  <c:v>5.5393586005831066E-2</c:v>
                </c:pt>
                <c:pt idx="5">
                  <c:v>0.11803278688524591</c:v>
                </c:pt>
              </c:numCache>
            </c:numRef>
          </c:val>
        </c:ser>
        <c:dLbls>
          <c:showLegendKey val="0"/>
          <c:showVal val="0"/>
          <c:showCatName val="0"/>
          <c:showSerName val="0"/>
          <c:showPercent val="0"/>
          <c:showBubbleSize val="0"/>
        </c:dLbls>
        <c:gapWidth val="150"/>
        <c:axId val="616613760"/>
        <c:axId val="617521152"/>
      </c:barChart>
      <c:catAx>
        <c:axId val="616613760"/>
        <c:scaling>
          <c:orientation val="minMax"/>
        </c:scaling>
        <c:delete val="0"/>
        <c:axPos val="b"/>
        <c:numFmt formatCode="General" sourceLinked="1"/>
        <c:majorTickMark val="out"/>
        <c:minorTickMark val="none"/>
        <c:tickLblPos val="nextTo"/>
        <c:txPr>
          <a:bodyPr/>
          <a:lstStyle/>
          <a:p>
            <a:pPr>
              <a:defRPr sz="700"/>
            </a:pPr>
            <a:endParaRPr lang="en-US"/>
          </a:p>
        </c:txPr>
        <c:crossAx val="617521152"/>
        <c:crosses val="autoZero"/>
        <c:auto val="1"/>
        <c:lblAlgn val="ctr"/>
        <c:lblOffset val="100"/>
        <c:noMultiLvlLbl val="0"/>
      </c:catAx>
      <c:valAx>
        <c:axId val="61752115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616613760"/>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emp1'!$C$8:$H$8</c:f>
              <c:numCache>
                <c:formatCode>0%</c:formatCode>
                <c:ptCount val="6"/>
                <c:pt idx="0">
                  <c:v>0.79030428367323469</c:v>
                </c:pt>
                <c:pt idx="1">
                  <c:v>0.77219250783334814</c:v>
                </c:pt>
                <c:pt idx="2">
                  <c:v>0.7120863189797485</c:v>
                </c:pt>
                <c:pt idx="3">
                  <c:v>0.62314709236031929</c:v>
                </c:pt>
                <c:pt idx="4">
                  <c:v>0.63978494623655913</c:v>
                </c:pt>
                <c:pt idx="5">
                  <c:v>0.66647498562392182</c:v>
                </c:pt>
              </c:numCache>
            </c:numRef>
          </c:val>
        </c:ser>
        <c:ser>
          <c:idx val="1"/>
          <c:order val="1"/>
          <c:tx>
            <c:v>Female</c:v>
          </c:tx>
          <c:spPr>
            <a:solidFill>
              <a:srgbClr val="F7941E"/>
            </a:solidFill>
          </c:spPr>
          <c:invertIfNegative val="0"/>
          <c:cat>
            <c:numRef>
              <c:f>'Sector emp1'!$C$5:$H$5</c:f>
              <c:numCache>
                <c:formatCode>General</c:formatCode>
                <c:ptCount val="6"/>
                <c:pt idx="0">
                  <c:v>1970</c:v>
                </c:pt>
                <c:pt idx="1">
                  <c:v>1975</c:v>
                </c:pt>
                <c:pt idx="2">
                  <c:v>1990</c:v>
                </c:pt>
                <c:pt idx="3">
                  <c:v>2000</c:v>
                </c:pt>
                <c:pt idx="4">
                  <c:v>2005</c:v>
                </c:pt>
                <c:pt idx="5">
                  <c:v>2010</c:v>
                </c:pt>
              </c:numCache>
            </c:numRef>
          </c:cat>
          <c:val>
            <c:numRef>
              <c:f>'Sector emp1'!$J$8:$O$8</c:f>
              <c:numCache>
                <c:formatCode>0%</c:formatCode>
                <c:ptCount val="6"/>
                <c:pt idx="0">
                  <c:v>0.20969571632676534</c:v>
                </c:pt>
                <c:pt idx="1">
                  <c:v>0.22780749216665186</c:v>
                </c:pt>
                <c:pt idx="2">
                  <c:v>0.28791368102025156</c:v>
                </c:pt>
                <c:pt idx="3">
                  <c:v>0.37685290763968077</c:v>
                </c:pt>
                <c:pt idx="4">
                  <c:v>0.36021505376344087</c:v>
                </c:pt>
                <c:pt idx="5">
                  <c:v>0.33352501437607823</c:v>
                </c:pt>
              </c:numCache>
            </c:numRef>
          </c:val>
        </c:ser>
        <c:dLbls>
          <c:showLegendKey val="0"/>
          <c:showVal val="0"/>
          <c:showCatName val="0"/>
          <c:showSerName val="0"/>
          <c:showPercent val="0"/>
          <c:showBubbleSize val="0"/>
        </c:dLbls>
        <c:gapWidth val="150"/>
        <c:axId val="644324352"/>
        <c:axId val="644342528"/>
      </c:barChart>
      <c:catAx>
        <c:axId val="644324352"/>
        <c:scaling>
          <c:orientation val="minMax"/>
        </c:scaling>
        <c:delete val="0"/>
        <c:axPos val="b"/>
        <c:numFmt formatCode="General" sourceLinked="1"/>
        <c:majorTickMark val="out"/>
        <c:minorTickMark val="none"/>
        <c:tickLblPos val="nextTo"/>
        <c:crossAx val="644342528"/>
        <c:crosses val="autoZero"/>
        <c:auto val="1"/>
        <c:lblAlgn val="ctr"/>
        <c:lblOffset val="100"/>
        <c:noMultiLvlLbl val="0"/>
      </c:catAx>
      <c:valAx>
        <c:axId val="644342528"/>
        <c:scaling>
          <c:orientation val="minMax"/>
          <c:max val="1"/>
        </c:scaling>
        <c:delete val="0"/>
        <c:axPos val="l"/>
        <c:majorGridlines/>
        <c:numFmt formatCode="0%" sourceLinked="1"/>
        <c:majorTickMark val="out"/>
        <c:minorTickMark val="none"/>
        <c:tickLblPos val="nextTo"/>
        <c:crossAx val="64432435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17</xdr:col>
      <xdr:colOff>211680</xdr:colOff>
      <xdr:row>17</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19</xdr:row>
      <xdr:rowOff>0</xdr:rowOff>
    </xdr:from>
    <xdr:to>
      <xdr:col>17</xdr:col>
      <xdr:colOff>211680</xdr:colOff>
      <xdr:row>34</xdr:row>
      <xdr:rowOff>91440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36</xdr:row>
      <xdr:rowOff>0</xdr:rowOff>
    </xdr:from>
    <xdr:to>
      <xdr:col>17</xdr:col>
      <xdr:colOff>211680</xdr:colOff>
      <xdr:row>50</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xdr:colOff>
      <xdr:row>1</xdr:row>
      <xdr:rowOff>179070</xdr:rowOff>
    </xdr:from>
    <xdr:to>
      <xdr:col>17</xdr:col>
      <xdr:colOff>194310</xdr:colOff>
      <xdr:row>14</xdr:row>
      <xdr:rowOff>148590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243840</xdr:colOff>
      <xdr:row>34</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16</xdr:col>
      <xdr:colOff>182880</xdr:colOff>
      <xdr:row>50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7620</xdr:rowOff>
    </xdr:from>
    <xdr:to>
      <xdr:col>10</xdr:col>
      <xdr:colOff>310740</xdr:colOff>
      <xdr:row>45</xdr:row>
      <xdr:rowOff>26400</xdr:rowOff>
    </xdr:to>
    <xdr:grpSp>
      <xdr:nvGrpSpPr>
        <xdr:cNvPr id="2" name="Group 1"/>
        <xdr:cNvGrpSpPr/>
      </xdr:nvGrpSpPr>
      <xdr:grpSpPr>
        <a:xfrm>
          <a:off x="0" y="278130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17</xdr:row>
      <xdr:rowOff>0</xdr:rowOff>
    </xdr:from>
    <xdr:to>
      <xdr:col>22</xdr:col>
      <xdr:colOff>78330</xdr:colOff>
      <xdr:row>58</xdr:row>
      <xdr:rowOff>148320</xdr:rowOff>
    </xdr:to>
    <xdr:grpSp>
      <xdr:nvGrpSpPr>
        <xdr:cNvPr id="7" name="Group 6"/>
        <xdr:cNvGrpSpPr/>
      </xdr:nvGrpSpPr>
      <xdr:grpSpPr>
        <a:xfrm>
          <a:off x="5638800" y="277368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22860</xdr:colOff>
      <xdr:row>3</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21</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38</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55</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6.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217932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South%20Africa%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-1.2609080110592927</v>
          </cell>
          <cell r="C6">
            <v>0.22087185058612946</v>
          </cell>
          <cell r="E6">
            <v>1689</v>
          </cell>
        </row>
        <row r="7">
          <cell r="B7">
            <v>-0.40991675648436221</v>
          </cell>
          <cell r="C7">
            <v>2.1373734232063324</v>
          </cell>
          <cell r="E7">
            <v>617</v>
          </cell>
        </row>
        <row r="8">
          <cell r="B8">
            <v>-1.481616745685864</v>
          </cell>
          <cell r="C8">
            <v>1.6799565714502245</v>
          </cell>
          <cell r="E8">
            <v>1397</v>
          </cell>
        </row>
        <row r="9">
          <cell r="B9">
            <v>0.65975766540548442</v>
          </cell>
          <cell r="C9">
            <v>0.49244975698001003</v>
          </cell>
          <cell r="E9">
            <v>606</v>
          </cell>
        </row>
        <row r="10">
          <cell r="B10">
            <v>0.88178225473996719</v>
          </cell>
          <cell r="C10">
            <v>0.72434174806738783</v>
          </cell>
          <cell r="E10">
            <v>2438</v>
          </cell>
        </row>
        <row r="11">
          <cell r="B11">
            <v>0.248433368852921</v>
          </cell>
          <cell r="C11">
            <v>2.3181287205726</v>
          </cell>
          <cell r="E11">
            <v>520</v>
          </cell>
        </row>
        <row r="12">
          <cell r="B12">
            <v>1.3624682242311508</v>
          </cell>
          <cell r="C12">
            <v>0.99208316664311036</v>
          </cell>
          <cell r="E12">
            <v>5243</v>
          </cell>
        </row>
        <row r="23">
          <cell r="B23">
            <v>-7.1284360551715764</v>
          </cell>
          <cell r="C23">
            <v>0.41836517976732462</v>
          </cell>
          <cell r="E23">
            <v>876</v>
          </cell>
        </row>
        <row r="24">
          <cell r="B24">
            <v>-1.4546791200823717</v>
          </cell>
          <cell r="C24">
            <v>2.6583375651894769</v>
          </cell>
          <cell r="E24">
            <v>478</v>
          </cell>
        </row>
        <row r="25">
          <cell r="B25">
            <v>0.64000480104785673</v>
          </cell>
          <cell r="C25">
            <v>1.5363389066156055</v>
          </cell>
          <cell r="E25">
            <v>1623</v>
          </cell>
        </row>
        <row r="26">
          <cell r="B26">
            <v>1.6159364084463546</v>
          </cell>
          <cell r="C26">
            <v>0.44797519557973769</v>
          </cell>
          <cell r="E26">
            <v>888</v>
          </cell>
        </row>
        <row r="27">
          <cell r="B27">
            <v>3.5219210053170862</v>
          </cell>
          <cell r="C27">
            <v>0.61534548640544762</v>
          </cell>
          <cell r="E27">
            <v>3163</v>
          </cell>
        </row>
        <row r="28">
          <cell r="B28">
            <v>9.1833996792090034E-2</v>
          </cell>
          <cell r="C28">
            <v>2.5561053006967627</v>
          </cell>
          <cell r="E28">
            <v>584</v>
          </cell>
        </row>
        <row r="29">
          <cell r="B29">
            <v>2.7134189636505539</v>
          </cell>
          <cell r="C29">
            <v>0.94203512522725419</v>
          </cell>
          <cell r="E29">
            <v>6134</v>
          </cell>
        </row>
        <row r="40">
          <cell r="B40">
            <v>-2.3029539590597965</v>
          </cell>
          <cell r="C40">
            <v>0.6387426883341818</v>
          </cell>
          <cell r="E40">
            <v>569</v>
          </cell>
        </row>
        <row r="41">
          <cell r="B41">
            <v>-0.95967264005161423</v>
          </cell>
          <cell r="C41">
            <v>2.8284075184822446</v>
          </cell>
          <cell r="E41">
            <v>352</v>
          </cell>
        </row>
        <row r="42">
          <cell r="B42">
            <v>-0.72774921105593471</v>
          </cell>
          <cell r="C42">
            <v>1.5245663430968983</v>
          </cell>
          <cell r="E42">
            <v>1549</v>
          </cell>
        </row>
        <row r="43">
          <cell r="B43">
            <v>0.29911205489298087</v>
          </cell>
          <cell r="C43">
            <v>0.56267278774000973</v>
          </cell>
          <cell r="E43">
            <v>945</v>
          </cell>
        </row>
        <row r="44">
          <cell r="B44">
            <v>-2.0390120603180186</v>
          </cell>
          <cell r="C44">
            <v>0.68063776772407014</v>
          </cell>
          <cell r="E44">
            <v>2932</v>
          </cell>
        </row>
        <row r="45">
          <cell r="B45">
            <v>0.68676063697804146</v>
          </cell>
          <cell r="C45">
            <v>2.239725873266035</v>
          </cell>
          <cell r="E45">
            <v>690</v>
          </cell>
        </row>
        <row r="46">
          <cell r="B46">
            <v>5.0435151786143493</v>
          </cell>
          <cell r="C46">
            <v>0.89107663111177393</v>
          </cell>
          <cell r="E46">
            <v>6944</v>
          </cell>
        </row>
        <row r="57">
          <cell r="B57">
            <v>0.12274816021714585</v>
          </cell>
          <cell r="C57">
            <v>0.59496606752657732</v>
          </cell>
          <cell r="E57">
            <v>614</v>
          </cell>
        </row>
        <row r="58">
          <cell r="B58">
            <v>0.45942270235596805</v>
          </cell>
          <cell r="C58">
            <v>2.1631404924946458</v>
          </cell>
          <cell r="E58">
            <v>436</v>
          </cell>
        </row>
        <row r="59">
          <cell r="B59">
            <v>-0.97348376689048521</v>
          </cell>
          <cell r="C59">
            <v>1.6375167803330679</v>
          </cell>
          <cell r="E59">
            <v>1480</v>
          </cell>
        </row>
        <row r="60">
          <cell r="B60">
            <v>-0.35425680987480757</v>
          </cell>
          <cell r="C60">
            <v>0.57961621070679947</v>
          </cell>
          <cell r="E60">
            <v>938</v>
          </cell>
        </row>
        <row r="61">
          <cell r="B61">
            <v>-1.1761662885950024</v>
          </cell>
          <cell r="C61">
            <v>0.73261386324670275</v>
          </cell>
          <cell r="E61">
            <v>2899</v>
          </cell>
        </row>
        <row r="62">
          <cell r="B62">
            <v>0.12447806000383554</v>
          </cell>
          <cell r="C62">
            <v>2.1810638097476227</v>
          </cell>
          <cell r="E62">
            <v>741</v>
          </cell>
        </row>
        <row r="63">
          <cell r="B63">
            <v>1.7972579427833324</v>
          </cell>
          <cell r="C63">
            <v>0.87957288930607935</v>
          </cell>
          <cell r="E63">
            <v>7537</v>
          </cell>
        </row>
      </sheetData>
      <sheetData sheetId="2">
        <row r="4">
          <cell r="B4" t="str">
            <v>Within sector</v>
          </cell>
          <cell r="C4" t="str">
            <v>Structural change</v>
          </cell>
        </row>
        <row r="5">
          <cell r="A5" t="str">
            <v>1991-2000</v>
          </cell>
          <cell r="B5">
            <v>-1.2905849784926884E-2</v>
          </cell>
          <cell r="C5">
            <v>1.6097964924222802E-3</v>
          </cell>
        </row>
        <row r="6">
          <cell r="A6" t="str">
            <v>2000-05</v>
          </cell>
          <cell r="B6">
            <v>2.6466958200844076E-2</v>
          </cell>
          <cell r="C6">
            <v>-8.1074790452979328E-3</v>
          </cell>
        </row>
        <row r="7">
          <cell r="A7" t="str">
            <v>2005-10</v>
          </cell>
          <cell r="B7">
            <v>3.5489261224881392E-2</v>
          </cell>
          <cell r="C7">
            <v>-7.7474188433301963E-3</v>
          </cell>
        </row>
        <row r="8">
          <cell r="A8" t="str">
            <v>2010-13</v>
          </cell>
          <cell r="B8">
            <v>1.259682033286288E-2</v>
          </cell>
          <cell r="C8">
            <v>-2.8925853836035634E-3</v>
          </cell>
        </row>
      </sheetData>
      <sheetData sheetId="3">
        <row r="5">
          <cell r="I5" t="str">
            <v>Construction</v>
          </cell>
          <cell r="J5" t="str">
            <v>Agriculture</v>
          </cell>
          <cell r="K5" t="str">
            <v>Wholesale, retail, hotels</v>
          </cell>
          <cell r="L5" t="str">
            <v>Other</v>
          </cell>
          <cell r="M5" t="str">
            <v>Manufacturing</v>
          </cell>
          <cell r="N5" t="str">
            <v>Mining &amp; utilities</v>
          </cell>
          <cell r="O5" t="str">
            <v>Transport, storage, comms</v>
          </cell>
        </row>
        <row r="6">
          <cell r="H6">
            <v>0</v>
          </cell>
          <cell r="I6">
            <v>0</v>
          </cell>
        </row>
        <row r="7">
          <cell r="H7">
            <v>0</v>
          </cell>
          <cell r="I7">
            <v>0.57961621070679947</v>
          </cell>
        </row>
        <row r="8">
          <cell r="H8">
            <v>3.202458176852168</v>
          </cell>
          <cell r="I8">
            <v>0.57961621070679947</v>
          </cell>
        </row>
        <row r="9">
          <cell r="H9">
            <v>6.4049163537043361</v>
          </cell>
          <cell r="I9">
            <v>0.57961621070679947</v>
          </cell>
          <cell r="J9">
            <v>0</v>
          </cell>
        </row>
        <row r="10">
          <cell r="H10">
            <v>6.4049163537043361</v>
          </cell>
          <cell r="I10">
            <v>0</v>
          </cell>
          <cell r="J10">
            <v>0.59496606752657732</v>
          </cell>
        </row>
        <row r="11">
          <cell r="H11">
            <v>8.5011949470809149</v>
          </cell>
          <cell r="J11">
            <v>0.59496606752657732</v>
          </cell>
        </row>
        <row r="12">
          <cell r="H12">
            <v>10.597473540457495</v>
          </cell>
          <cell r="J12">
            <v>0.59496606752657732</v>
          </cell>
          <cell r="K12">
            <v>0</v>
          </cell>
        </row>
        <row r="13">
          <cell r="H13">
            <v>10.597473540457495</v>
          </cell>
          <cell r="J13">
            <v>0</v>
          </cell>
          <cell r="K13">
            <v>0.73261386324670275</v>
          </cell>
        </row>
        <row r="14">
          <cell r="H14">
            <v>20.495049504950494</v>
          </cell>
          <cell r="K14">
            <v>0.73261386324670275</v>
          </cell>
        </row>
        <row r="15">
          <cell r="H15">
            <v>30.392625469443495</v>
          </cell>
          <cell r="K15">
            <v>0.73261386324670275</v>
          </cell>
          <cell r="L15">
            <v>0</v>
          </cell>
        </row>
        <row r="16">
          <cell r="H16">
            <v>30.392625469443495</v>
          </cell>
          <cell r="K16">
            <v>0</v>
          </cell>
          <cell r="L16">
            <v>0.87957288930607935</v>
          </cell>
        </row>
        <row r="17">
          <cell r="H17">
            <v>56.124957323318526</v>
          </cell>
          <cell r="L17">
            <v>0.87957288930607935</v>
          </cell>
        </row>
        <row r="18">
          <cell r="H18">
            <v>81.857289177193564</v>
          </cell>
          <cell r="L18">
            <v>0.87957288930607935</v>
          </cell>
          <cell r="M18">
            <v>0</v>
          </cell>
        </row>
        <row r="19">
          <cell r="H19">
            <v>81.857289177193564</v>
          </cell>
          <cell r="L19">
            <v>0</v>
          </cell>
          <cell r="M19">
            <v>1.6375167803330679</v>
          </cell>
        </row>
        <row r="20">
          <cell r="H20">
            <v>86.910208262205515</v>
          </cell>
          <cell r="M20">
            <v>1.6375167803330679</v>
          </cell>
        </row>
        <row r="21">
          <cell r="H21">
            <v>91.963127347217466</v>
          </cell>
          <cell r="M21">
            <v>1.6375167803330679</v>
          </cell>
          <cell r="N21">
            <v>0</v>
          </cell>
        </row>
        <row r="22">
          <cell r="H22">
            <v>91.963127347217466</v>
          </cell>
          <cell r="M22">
            <v>0</v>
          </cell>
          <cell r="N22">
            <v>2.1631404924946458</v>
          </cell>
        </row>
        <row r="23">
          <cell r="H23">
            <v>93.451689996585856</v>
          </cell>
          <cell r="N23">
            <v>2.1631404924946458</v>
          </cell>
        </row>
        <row r="24">
          <cell r="H24">
            <v>94.940252645954232</v>
          </cell>
          <cell r="N24">
            <v>2.1631404924946458</v>
          </cell>
          <cell r="O24">
            <v>0</v>
          </cell>
        </row>
        <row r="25">
          <cell r="H25">
            <v>94.940252645954232</v>
          </cell>
          <cell r="N25">
            <v>0</v>
          </cell>
          <cell r="O25">
            <v>2.1810638097476227</v>
          </cell>
        </row>
        <row r="26">
          <cell r="H26">
            <v>97.470126322977109</v>
          </cell>
          <cell r="O26">
            <v>2.1810638097476227</v>
          </cell>
        </row>
        <row r="27">
          <cell r="H27">
            <v>99.999999999999986</v>
          </cell>
          <cell r="O27">
            <v>2.1810638097476227</v>
          </cell>
        </row>
      </sheetData>
      <sheetData sheetId="4">
        <row r="5">
          <cell r="B5">
            <v>1991</v>
          </cell>
          <cell r="C5">
            <v>2000</v>
          </cell>
          <cell r="D5">
            <v>2005</v>
          </cell>
          <cell r="E5">
            <v>2010</v>
          </cell>
          <cell r="F5">
            <v>2013</v>
          </cell>
        </row>
        <row r="6">
          <cell r="A6" t="str">
            <v>Agriculture</v>
          </cell>
          <cell r="B6">
            <v>16</v>
          </cell>
          <cell r="C6">
            <v>13.8</v>
          </cell>
          <cell r="D6">
            <v>7.5</v>
          </cell>
          <cell r="E6">
            <v>4.8000000000000007</v>
          </cell>
          <cell r="F6">
            <v>5.2</v>
          </cell>
          <cell r="G6">
            <v>12.5</v>
          </cell>
          <cell r="H6">
            <v>13.100000000000001</v>
          </cell>
          <cell r="I6">
            <v>4.8000000000000007</v>
          </cell>
          <cell r="J6">
            <v>3</v>
          </cell>
          <cell r="K6">
            <v>2.9000000000000004</v>
          </cell>
        </row>
        <row r="7">
          <cell r="A7" t="str">
            <v>Mining and utilities</v>
          </cell>
          <cell r="B7">
            <v>8.1</v>
          </cell>
          <cell r="C7">
            <v>8.3000000000000007</v>
          </cell>
          <cell r="D7">
            <v>5.5000000000000009</v>
          </cell>
          <cell r="E7">
            <v>3.8</v>
          </cell>
          <cell r="F7">
            <v>4.4000000000000004</v>
          </cell>
          <cell r="G7">
            <v>0.5</v>
          </cell>
          <cell r="H7">
            <v>0.4</v>
          </cell>
          <cell r="I7">
            <v>0.60000000000000009</v>
          </cell>
          <cell r="J7">
            <v>0.8</v>
          </cell>
          <cell r="K7">
            <v>1.1000000000000001</v>
          </cell>
        </row>
        <row r="8">
          <cell r="A8" t="str">
            <v>Manufacturing</v>
          </cell>
          <cell r="B8">
            <v>13.600000000000001</v>
          </cell>
          <cell r="C8">
            <v>13.200000000000001</v>
          </cell>
          <cell r="D8">
            <v>13.8</v>
          </cell>
          <cell r="E8">
            <v>13.3</v>
          </cell>
          <cell r="F8">
            <v>12.3</v>
          </cell>
          <cell r="G8">
            <v>10.9</v>
          </cell>
          <cell r="H8">
            <v>8.5</v>
          </cell>
          <cell r="I8">
            <v>9.1</v>
          </cell>
          <cell r="J8">
            <v>8.1</v>
          </cell>
          <cell r="K8">
            <v>7.2</v>
          </cell>
        </row>
        <row r="9">
          <cell r="A9" t="str">
            <v>Construction</v>
          </cell>
          <cell r="B9">
            <v>6.1000000000000005</v>
          </cell>
          <cell r="C9">
            <v>8</v>
          </cell>
          <cell r="D9">
            <v>10.3</v>
          </cell>
          <cell r="E9">
            <v>10.600000000000001</v>
          </cell>
          <cell r="F9">
            <v>10</v>
          </cell>
          <cell r="G9">
            <v>0.8</v>
          </cell>
          <cell r="H9">
            <v>0.70000000000000007</v>
          </cell>
          <cell r="I9">
            <v>1.2000000000000002</v>
          </cell>
          <cell r="J9">
            <v>1.6</v>
          </cell>
          <cell r="K9">
            <v>1.7000000000000002</v>
          </cell>
        </row>
        <row r="10">
          <cell r="A10" t="str">
            <v>Wholesale, retail, hotels</v>
          </cell>
          <cell r="B10">
            <v>17.8</v>
          </cell>
          <cell r="C10">
            <v>18.3</v>
          </cell>
          <cell r="D10">
            <v>21.200000000000003</v>
          </cell>
          <cell r="E10">
            <v>19.5</v>
          </cell>
          <cell r="F10">
            <v>18.400000000000002</v>
          </cell>
          <cell r="G10">
            <v>19.899999999999999</v>
          </cell>
          <cell r="H10">
            <v>20.900000000000002</v>
          </cell>
          <cell r="I10">
            <v>25.400000000000002</v>
          </cell>
          <cell r="J10">
            <v>22.800000000000004</v>
          </cell>
          <cell r="K10">
            <v>21.7</v>
          </cell>
        </row>
        <row r="11">
          <cell r="A11" t="str">
            <v>Transport, storage, comms</v>
          </cell>
          <cell r="B11">
            <v>5.4</v>
          </cell>
          <cell r="C11">
            <v>6.4</v>
          </cell>
          <cell r="D11">
            <v>5.9</v>
          </cell>
          <cell r="E11">
            <v>7</v>
          </cell>
          <cell r="F11">
            <v>7.3000000000000007</v>
          </cell>
          <cell r="G11">
            <v>1.2000000000000002</v>
          </cell>
          <cell r="H11">
            <v>1.3</v>
          </cell>
          <cell r="I11">
            <v>1.9000000000000001</v>
          </cell>
          <cell r="J11">
            <v>2.2000000000000002</v>
          </cell>
          <cell r="K11">
            <v>2.1</v>
          </cell>
        </row>
        <row r="12">
          <cell r="A12" t="str">
            <v>Other</v>
          </cell>
          <cell r="B12">
            <v>33</v>
          </cell>
          <cell r="C12">
            <v>31.9</v>
          </cell>
          <cell r="D12">
            <v>35.799999999999997</v>
          </cell>
          <cell r="E12">
            <v>40.900000000000006</v>
          </cell>
          <cell r="F12">
            <v>42.5</v>
          </cell>
          <cell r="G12">
            <v>54.100000000000009</v>
          </cell>
          <cell r="H12">
            <v>54.8</v>
          </cell>
          <cell r="I12">
            <v>56.800000000000004</v>
          </cell>
          <cell r="J12">
            <v>61.400000000000006</v>
          </cell>
          <cell r="K12">
            <v>63.300000000000004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ilo.org/global/research/global-reports/global-employment-trends/2014/WCMS_234879/lang--en/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tabSelected="1" workbookViewId="0">
      <selection activeCell="C7" sqref="C7"/>
    </sheetView>
  </sheetViews>
  <sheetFormatPr defaultRowHeight="12" x14ac:dyDescent="0.25"/>
  <cols>
    <col min="1" max="1" width="13.5703125" style="194" customWidth="1"/>
    <col min="2" max="2" width="14.42578125" style="194" customWidth="1"/>
    <col min="3" max="3" width="53.140625" style="194" customWidth="1"/>
    <col min="4" max="16384" width="9.140625" style="194"/>
  </cols>
  <sheetData>
    <row r="1" spans="1:3" ht="14.4" x14ac:dyDescent="0.25">
      <c r="A1" s="203" t="s">
        <v>104</v>
      </c>
      <c r="C1" s="222" t="s">
        <v>87</v>
      </c>
    </row>
    <row r="3" spans="1:3" s="223" customFormat="1" ht="19.2" customHeight="1" x14ac:dyDescent="0.25">
      <c r="A3" s="223" t="s">
        <v>105</v>
      </c>
      <c r="B3" s="223" t="s">
        <v>106</v>
      </c>
      <c r="C3" s="223" t="s">
        <v>107</v>
      </c>
    </row>
    <row r="4" spans="1:3" x14ac:dyDescent="0.25">
      <c r="A4" s="194" t="s">
        <v>108</v>
      </c>
      <c r="B4" s="194" t="s">
        <v>109</v>
      </c>
      <c r="C4" s="194" t="s">
        <v>110</v>
      </c>
    </row>
    <row r="5" spans="1:3" x14ac:dyDescent="0.25">
      <c r="A5" s="235" t="s">
        <v>111</v>
      </c>
      <c r="B5" s="235" t="s">
        <v>109</v>
      </c>
      <c r="C5" s="236" t="s">
        <v>112</v>
      </c>
    </row>
    <row r="6" spans="1:3" x14ac:dyDescent="0.25">
      <c r="A6" s="236" t="s">
        <v>113</v>
      </c>
      <c r="B6" s="235" t="s">
        <v>109</v>
      </c>
      <c r="C6" s="236" t="s">
        <v>114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F34" sqref="F34"/>
    </sheetView>
  </sheetViews>
  <sheetFormatPr defaultRowHeight="12" x14ac:dyDescent="0.25"/>
  <cols>
    <col min="2" max="2" width="29.5703125" customWidth="1"/>
    <col min="3" max="6" width="14.140625" customWidth="1"/>
    <col min="7" max="7" width="6.42578125" customWidth="1"/>
  </cols>
  <sheetData>
    <row r="1" spans="1:16" ht="14.4" x14ac:dyDescent="0.25">
      <c r="A1" s="147" t="s">
        <v>180</v>
      </c>
    </row>
    <row r="2" spans="1:16" x14ac:dyDescent="0.25">
      <c r="A2" s="284" t="s">
        <v>185</v>
      </c>
    </row>
    <row r="3" spans="1:16" x14ac:dyDescent="0.25">
      <c r="A3" s="415"/>
    </row>
    <row r="4" spans="1:16" x14ac:dyDescent="0.25">
      <c r="A4" s="234"/>
      <c r="B4" s="447"/>
      <c r="C4" s="234"/>
      <c r="D4" s="234" t="s">
        <v>117</v>
      </c>
      <c r="E4" s="234"/>
      <c r="F4" s="234"/>
    </row>
    <row r="5" spans="1:16" ht="48" x14ac:dyDescent="0.25">
      <c r="A5" s="149" t="s">
        <v>83</v>
      </c>
      <c r="B5" s="150" t="s">
        <v>2</v>
      </c>
      <c r="C5" s="151" t="s">
        <v>181</v>
      </c>
      <c r="D5" s="151" t="s">
        <v>182</v>
      </c>
      <c r="E5" s="151" t="s">
        <v>183</v>
      </c>
      <c r="F5" s="151" t="s">
        <v>182</v>
      </c>
      <c r="H5" s="149"/>
      <c r="I5" s="149" t="s">
        <v>22</v>
      </c>
      <c r="J5" s="224" t="s">
        <v>14</v>
      </c>
      <c r="K5" s="149" t="s">
        <v>150</v>
      </c>
      <c r="L5" s="149" t="s">
        <v>152</v>
      </c>
      <c r="M5" s="224" t="s">
        <v>20</v>
      </c>
      <c r="N5" s="149" t="s">
        <v>175</v>
      </c>
      <c r="O5" s="224" t="s">
        <v>151</v>
      </c>
      <c r="P5" s="149"/>
    </row>
    <row r="6" spans="1:16" x14ac:dyDescent="0.25">
      <c r="A6" s="148">
        <v>4</v>
      </c>
      <c r="B6" s="419" t="s">
        <v>22</v>
      </c>
      <c r="C6" s="145">
        <f>(VLOOKUP($A6,'GVA-productivity2'!$C$48:$O$54,13,FALSE)/100)</f>
        <v>6.404916353704336E-2</v>
      </c>
      <c r="D6" s="142">
        <f>VLOOKUP(A6,'GVA-productivity2'!$C$61:$O$67,13,FALSE)</f>
        <v>0.57961621070679947</v>
      </c>
      <c r="E6" s="448">
        <f>+C6</f>
        <v>6.404916353704336E-2</v>
      </c>
      <c r="F6" s="449">
        <f>+D6</f>
        <v>0.57961621070679947</v>
      </c>
      <c r="G6" s="450"/>
      <c r="H6" s="225">
        <v>0</v>
      </c>
      <c r="I6" s="226">
        <v>0</v>
      </c>
      <c r="J6" s="226"/>
      <c r="K6" s="226"/>
      <c r="L6" s="226"/>
      <c r="M6" s="226"/>
      <c r="N6" s="226"/>
      <c r="O6" s="226"/>
      <c r="P6" s="226">
        <v>0</v>
      </c>
    </row>
    <row r="7" spans="1:16" x14ac:dyDescent="0.25">
      <c r="A7" s="148">
        <v>1</v>
      </c>
      <c r="B7" s="419" t="s">
        <v>14</v>
      </c>
      <c r="C7" s="145">
        <f>(VLOOKUP($A7,'GVA-productivity2'!$C$48:$O$54,13,FALSE)/100)</f>
        <v>4.1925571867531583E-2</v>
      </c>
      <c r="D7" s="142">
        <f>VLOOKUP(A7,'GVA-productivity2'!$C$61:$O$67,13,FALSE)</f>
        <v>0.59496606752657732</v>
      </c>
      <c r="E7" s="448">
        <f t="shared" ref="E7:E12" si="0">+E6+C7</f>
        <v>0.10597473540457494</v>
      </c>
      <c r="F7" s="449">
        <f t="shared" ref="F7:F12" si="1">+D7</f>
        <v>0.59496606752657732</v>
      </c>
      <c r="G7" s="450"/>
      <c r="H7" s="225">
        <v>0</v>
      </c>
      <c r="I7" s="227">
        <f>+$F$6</f>
        <v>0.57961621070679947</v>
      </c>
      <c r="J7" s="226"/>
      <c r="K7" s="226"/>
      <c r="L7" s="226"/>
      <c r="M7" s="226"/>
      <c r="N7" s="226"/>
      <c r="O7" s="226"/>
      <c r="P7" s="226">
        <v>0</v>
      </c>
    </row>
    <row r="8" spans="1:16" x14ac:dyDescent="0.25">
      <c r="A8" s="148">
        <v>5</v>
      </c>
      <c r="B8" s="419" t="s">
        <v>150</v>
      </c>
      <c r="C8" s="145">
        <f>(VLOOKUP($A8,'GVA-productivity2'!$C$48:$O$54,13,FALSE)/100)</f>
        <v>0.19795151928986002</v>
      </c>
      <c r="D8" s="142">
        <f>VLOOKUP(A8,'GVA-productivity2'!$C$61:$O$67,13,FALSE)</f>
        <v>0.73261386324670275</v>
      </c>
      <c r="E8" s="448">
        <f t="shared" si="0"/>
        <v>0.30392625469443496</v>
      </c>
      <c r="F8" s="449">
        <f t="shared" si="1"/>
        <v>0.73261386324670275</v>
      </c>
      <c r="G8" s="450"/>
      <c r="H8" s="225">
        <f>AVERAGE(H7,H9)</f>
        <v>3.202458176852168</v>
      </c>
      <c r="I8" s="227">
        <f>+$F$6</f>
        <v>0.57961621070679947</v>
      </c>
      <c r="J8" s="226"/>
      <c r="K8" s="226"/>
      <c r="L8" s="226"/>
      <c r="M8" s="226"/>
      <c r="N8" s="226"/>
      <c r="O8" s="226"/>
      <c r="P8" s="226">
        <v>0</v>
      </c>
    </row>
    <row r="9" spans="1:16" x14ac:dyDescent="0.25">
      <c r="A9" s="148">
        <v>7</v>
      </c>
      <c r="B9" s="419" t="s">
        <v>152</v>
      </c>
      <c r="C9" s="145">
        <f>(VLOOKUP($A9,'GVA-productivity2'!$C$48:$O$54,13,FALSE)/100)</f>
        <v>0.5146466370775008</v>
      </c>
      <c r="D9" s="142">
        <f>VLOOKUP(A9,'GVA-productivity2'!$C$61:$O$67,13,FALSE)</f>
        <v>0.87957288930607935</v>
      </c>
      <c r="E9" s="448">
        <f t="shared" si="0"/>
        <v>0.81857289177193571</v>
      </c>
      <c r="F9" s="449">
        <f t="shared" si="1"/>
        <v>0.87957288930607935</v>
      </c>
      <c r="G9" s="450"/>
      <c r="H9" s="225">
        <f>+$E$6*100</f>
        <v>6.4049163537043361</v>
      </c>
      <c r="I9" s="227">
        <f>+$F$6</f>
        <v>0.57961621070679947</v>
      </c>
      <c r="J9" s="226">
        <v>0</v>
      </c>
      <c r="K9" s="226"/>
      <c r="L9" s="226"/>
      <c r="M9" s="226"/>
      <c r="N9" s="226"/>
      <c r="O9" s="226"/>
      <c r="P9" s="226">
        <v>0</v>
      </c>
    </row>
    <row r="10" spans="1:16" x14ac:dyDescent="0.25">
      <c r="A10" s="148">
        <v>3</v>
      </c>
      <c r="B10" s="419" t="s">
        <v>20</v>
      </c>
      <c r="C10" s="145">
        <f>(VLOOKUP($A10,'GVA-productivity2'!$C$48:$O$54,13,FALSE)/100)</f>
        <v>0.10105838170023899</v>
      </c>
      <c r="D10" s="142">
        <f>VLOOKUP(A10,'GVA-productivity2'!$C$61:$O$67,13,FALSE)</f>
        <v>1.6375167803330679</v>
      </c>
      <c r="E10" s="448">
        <f t="shared" si="0"/>
        <v>0.91963127347217466</v>
      </c>
      <c r="F10" s="449">
        <f t="shared" si="1"/>
        <v>1.6375167803330679</v>
      </c>
      <c r="G10" s="450"/>
      <c r="H10" s="225">
        <f>+$E$6*100</f>
        <v>6.4049163537043361</v>
      </c>
      <c r="I10" s="226">
        <v>0</v>
      </c>
      <c r="J10" s="228">
        <f>+$F$7</f>
        <v>0.59496606752657732</v>
      </c>
      <c r="K10" s="226"/>
      <c r="L10" s="226"/>
      <c r="M10" s="226"/>
      <c r="N10" s="226"/>
      <c r="O10" s="226"/>
      <c r="P10" s="226">
        <v>0</v>
      </c>
    </row>
    <row r="11" spans="1:16" x14ac:dyDescent="0.25">
      <c r="A11" s="148">
        <v>2</v>
      </c>
      <c r="B11" s="419" t="s">
        <v>175</v>
      </c>
      <c r="C11" s="145">
        <f>(VLOOKUP($A11,'GVA-productivity2'!$C$48:$O$54,13,FALSE)/100)</f>
        <v>2.9771252987367703E-2</v>
      </c>
      <c r="D11" s="142">
        <f>VLOOKUP(A11,'GVA-productivity2'!$C$61:$O$67,13,FALSE)</f>
        <v>2.1631404924946458</v>
      </c>
      <c r="E11" s="448">
        <f t="shared" si="0"/>
        <v>0.94940252645954237</v>
      </c>
      <c r="F11" s="449">
        <f t="shared" si="1"/>
        <v>2.1631404924946458</v>
      </c>
      <c r="G11" s="450"/>
      <c r="H11" s="225">
        <f>AVERAGE(H10,H12)</f>
        <v>8.5011949470809149</v>
      </c>
      <c r="I11" s="226"/>
      <c r="J11" s="228">
        <f>+$F$7</f>
        <v>0.59496606752657732</v>
      </c>
      <c r="K11" s="226"/>
      <c r="L11" s="226"/>
      <c r="M11" s="226"/>
      <c r="N11" s="226"/>
      <c r="O11" s="226"/>
      <c r="P11" s="226">
        <v>0</v>
      </c>
    </row>
    <row r="12" spans="1:16" x14ac:dyDescent="0.25">
      <c r="A12" s="148">
        <v>6</v>
      </c>
      <c r="B12" s="423" t="s">
        <v>151</v>
      </c>
      <c r="C12" s="145">
        <f>(VLOOKUP($A12,'GVA-productivity2'!$C$48:$O$54,13,FALSE)/100)</f>
        <v>5.0597473540457495E-2</v>
      </c>
      <c r="D12" s="142">
        <f>VLOOKUP(A12,'GVA-productivity2'!$C$61:$O$67,13,FALSE)</f>
        <v>2.1810638097476227</v>
      </c>
      <c r="E12" s="448">
        <f t="shared" si="0"/>
        <v>0.99999999999999989</v>
      </c>
      <c r="F12" s="449">
        <f t="shared" si="1"/>
        <v>2.1810638097476227</v>
      </c>
      <c r="G12" s="450"/>
      <c r="H12" s="225">
        <f>+$E$7*100</f>
        <v>10.597473540457495</v>
      </c>
      <c r="I12" s="226"/>
      <c r="J12" s="228">
        <f>+$F$7</f>
        <v>0.59496606752657732</v>
      </c>
      <c r="K12" s="226">
        <v>0</v>
      </c>
      <c r="L12" s="226"/>
      <c r="M12" s="226"/>
      <c r="N12" s="226"/>
      <c r="O12" s="226"/>
      <c r="P12" s="226">
        <v>0</v>
      </c>
    </row>
    <row r="13" spans="1:16" x14ac:dyDescent="0.25">
      <c r="A13" s="148"/>
      <c r="B13" s="136"/>
      <c r="C13" s="145">
        <f>SUM(C6:C12)</f>
        <v>0.99999999999999989</v>
      </c>
      <c r="D13" s="142"/>
      <c r="E13" s="145"/>
      <c r="F13" s="142"/>
      <c r="H13" s="225">
        <f>+$E$7*100</f>
        <v>10.597473540457495</v>
      </c>
      <c r="I13" s="226"/>
      <c r="J13" s="226">
        <v>0</v>
      </c>
      <c r="K13" s="229">
        <f>+$F$8</f>
        <v>0.73261386324670275</v>
      </c>
      <c r="L13" s="226"/>
      <c r="M13" s="226"/>
      <c r="N13" s="226"/>
      <c r="O13" s="226"/>
      <c r="P13" s="226">
        <v>0</v>
      </c>
    </row>
    <row r="14" spans="1:16" x14ac:dyDescent="0.25">
      <c r="B14" s="152"/>
      <c r="C14" s="143"/>
      <c r="D14" s="143"/>
      <c r="E14" s="146"/>
      <c r="F14" s="146"/>
      <c r="H14" s="225">
        <f>AVERAGE(H13,H15)</f>
        <v>20.495049504950494</v>
      </c>
      <c r="I14" s="226"/>
      <c r="J14" s="226"/>
      <c r="K14" s="229">
        <f>+$F$8</f>
        <v>0.73261386324670275</v>
      </c>
      <c r="L14" s="226"/>
      <c r="M14" s="226"/>
      <c r="N14" s="226"/>
      <c r="O14" s="226"/>
      <c r="P14" s="226">
        <v>0</v>
      </c>
    </row>
    <row r="15" spans="1:16" x14ac:dyDescent="0.25">
      <c r="H15" s="225">
        <f>+$E$8*100</f>
        <v>30.392625469443495</v>
      </c>
      <c r="I15" s="226"/>
      <c r="J15" s="226"/>
      <c r="K15" s="229">
        <f>+$F$8</f>
        <v>0.73261386324670275</v>
      </c>
      <c r="L15" s="226">
        <v>0</v>
      </c>
      <c r="M15" s="226"/>
      <c r="N15" s="226"/>
      <c r="O15" s="226"/>
      <c r="P15" s="226">
        <v>0</v>
      </c>
    </row>
    <row r="16" spans="1:16" x14ac:dyDescent="0.25">
      <c r="A16" s="451"/>
      <c r="B16" s="452"/>
      <c r="H16" s="225">
        <f>+$E$8*100</f>
        <v>30.392625469443495</v>
      </c>
      <c r="I16" s="226"/>
      <c r="J16" s="226"/>
      <c r="K16" s="226">
        <v>0</v>
      </c>
      <c r="L16" s="230">
        <f>+$F$9</f>
        <v>0.87957288930607935</v>
      </c>
      <c r="M16" s="226"/>
      <c r="N16" s="226"/>
      <c r="O16" s="226"/>
      <c r="P16" s="226">
        <v>0</v>
      </c>
    </row>
    <row r="17" spans="8:16" x14ac:dyDescent="0.25">
      <c r="H17" s="225">
        <f>AVERAGE(H16,H18)</f>
        <v>56.124957323318526</v>
      </c>
      <c r="I17" s="226"/>
      <c r="J17" s="226"/>
      <c r="K17" s="226"/>
      <c r="L17" s="230">
        <f>+$F$9</f>
        <v>0.87957288930607935</v>
      </c>
      <c r="M17" s="226"/>
      <c r="N17" s="226"/>
      <c r="O17" s="226"/>
      <c r="P17" s="226">
        <v>0</v>
      </c>
    </row>
    <row r="18" spans="8:16" x14ac:dyDescent="0.25">
      <c r="H18" s="225">
        <f>+$E$9*100</f>
        <v>81.857289177193564</v>
      </c>
      <c r="I18" s="226"/>
      <c r="J18" s="226"/>
      <c r="K18" s="226"/>
      <c r="L18" s="230">
        <f>+$F$9</f>
        <v>0.87957288930607935</v>
      </c>
      <c r="M18" s="226">
        <v>0</v>
      </c>
      <c r="N18" s="226"/>
      <c r="O18" s="226"/>
      <c r="P18" s="226">
        <v>0</v>
      </c>
    </row>
    <row r="19" spans="8:16" x14ac:dyDescent="0.25">
      <c r="H19" s="225">
        <f>+$E$9*100</f>
        <v>81.857289177193564</v>
      </c>
      <c r="I19" s="226"/>
      <c r="J19" s="226"/>
      <c r="K19" s="226"/>
      <c r="L19" s="226">
        <v>0</v>
      </c>
      <c r="M19" s="230">
        <f>+$F$10</f>
        <v>1.6375167803330679</v>
      </c>
      <c r="N19" s="226"/>
      <c r="O19" s="226"/>
      <c r="P19" s="226">
        <v>0</v>
      </c>
    </row>
    <row r="20" spans="8:16" x14ac:dyDescent="0.25">
      <c r="H20" s="225">
        <f>AVERAGE(H19,H21)</f>
        <v>86.910208262205515</v>
      </c>
      <c r="I20" s="226"/>
      <c r="J20" s="226"/>
      <c r="K20" s="226"/>
      <c r="L20" s="226"/>
      <c r="M20" s="230">
        <f>+$F$10</f>
        <v>1.6375167803330679</v>
      </c>
      <c r="N20" s="226"/>
      <c r="O20" s="226"/>
      <c r="P20" s="226">
        <v>0</v>
      </c>
    </row>
    <row r="21" spans="8:16" x14ac:dyDescent="0.25">
      <c r="H21" s="225">
        <f>+$E$10*100</f>
        <v>91.963127347217466</v>
      </c>
      <c r="I21" s="226"/>
      <c r="J21" s="226"/>
      <c r="K21" s="226"/>
      <c r="L21" s="226"/>
      <c r="M21" s="230">
        <f>+$F$10</f>
        <v>1.6375167803330679</v>
      </c>
      <c r="N21" s="226">
        <v>0</v>
      </c>
      <c r="O21" s="226"/>
      <c r="P21" s="226">
        <v>0</v>
      </c>
    </row>
    <row r="22" spans="8:16" x14ac:dyDescent="0.25">
      <c r="H22" s="225">
        <f>+$E$10*100</f>
        <v>91.963127347217466</v>
      </c>
      <c r="I22" s="226"/>
      <c r="J22" s="226"/>
      <c r="K22" s="226"/>
      <c r="L22" s="226"/>
      <c r="M22" s="226">
        <v>0</v>
      </c>
      <c r="N22" s="230">
        <f>+$F$11</f>
        <v>2.1631404924946458</v>
      </c>
      <c r="O22" s="226"/>
      <c r="P22" s="226">
        <v>0</v>
      </c>
    </row>
    <row r="23" spans="8:16" x14ac:dyDescent="0.25">
      <c r="H23" s="225">
        <f>AVERAGE(H22,H24)</f>
        <v>93.451689996585856</v>
      </c>
      <c r="I23" s="226"/>
      <c r="J23" s="226"/>
      <c r="K23" s="226"/>
      <c r="L23" s="226"/>
      <c r="M23" s="226"/>
      <c r="N23" s="230">
        <f>+$F$11</f>
        <v>2.1631404924946458</v>
      </c>
      <c r="O23" s="226"/>
      <c r="P23" s="226">
        <v>0</v>
      </c>
    </row>
    <row r="24" spans="8:16" x14ac:dyDescent="0.25">
      <c r="H24" s="225">
        <f>+$E$11*100</f>
        <v>94.940252645954232</v>
      </c>
      <c r="I24" s="226"/>
      <c r="J24" s="226"/>
      <c r="K24" s="226"/>
      <c r="L24" s="226"/>
      <c r="M24" s="226"/>
      <c r="N24" s="230">
        <f>+$F$11</f>
        <v>2.1631404924946458</v>
      </c>
      <c r="O24" s="226">
        <v>0</v>
      </c>
      <c r="P24" s="226">
        <v>0</v>
      </c>
    </row>
    <row r="25" spans="8:16" x14ac:dyDescent="0.25">
      <c r="H25" s="225">
        <f>+$E$11*100</f>
        <v>94.940252645954232</v>
      </c>
      <c r="I25" s="226"/>
      <c r="J25" s="226"/>
      <c r="K25" s="226"/>
      <c r="L25" s="226"/>
      <c r="M25" s="226"/>
      <c r="N25" s="226">
        <v>0</v>
      </c>
      <c r="O25" s="230">
        <f>+$F$12</f>
        <v>2.1810638097476227</v>
      </c>
      <c r="P25" s="226">
        <v>0</v>
      </c>
    </row>
    <row r="26" spans="8:16" x14ac:dyDescent="0.25">
      <c r="H26" s="225">
        <f>AVERAGE(H25,H27)</f>
        <v>97.470126322977109</v>
      </c>
      <c r="I26" s="226"/>
      <c r="J26" s="226"/>
      <c r="K26" s="226"/>
      <c r="L26" s="226"/>
      <c r="M26" s="226"/>
      <c r="N26" s="226"/>
      <c r="O26" s="230">
        <f>+$F$12</f>
        <v>2.1810638097476227</v>
      </c>
      <c r="P26" s="226">
        <v>0</v>
      </c>
    </row>
    <row r="27" spans="8:16" x14ac:dyDescent="0.25">
      <c r="H27" s="225">
        <f>+$E$12*100</f>
        <v>99.999999999999986</v>
      </c>
      <c r="I27" s="226"/>
      <c r="J27" s="226"/>
      <c r="K27" s="226"/>
      <c r="L27" s="226"/>
      <c r="M27" s="226"/>
      <c r="N27" s="226"/>
      <c r="O27" s="230">
        <f>+$F$12</f>
        <v>2.1810638097476227</v>
      </c>
      <c r="P27" s="226">
        <v>0</v>
      </c>
    </row>
    <row r="28" spans="8:16" x14ac:dyDescent="0.25">
      <c r="H28" s="225">
        <f>+$E$12*100</f>
        <v>99.999999999999986</v>
      </c>
      <c r="I28" s="226"/>
      <c r="J28" s="226"/>
      <c r="K28" s="226"/>
      <c r="L28" s="226"/>
      <c r="M28" s="226"/>
      <c r="N28" s="226"/>
      <c r="O28" s="226">
        <v>0</v>
      </c>
      <c r="P28" s="226">
        <v>0</v>
      </c>
    </row>
    <row r="49" spans="8:8" x14ac:dyDescent="0.25">
      <c r="H49" s="453"/>
    </row>
  </sheetData>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election activeCell="F34" sqref="F34"/>
    </sheetView>
  </sheetViews>
  <sheetFormatPr defaultRowHeight="12" x14ac:dyDescent="0.25"/>
  <cols>
    <col min="1" max="1" width="25.28515625" customWidth="1"/>
  </cols>
  <sheetData>
    <row r="1" spans="1:11" ht="14.4" x14ac:dyDescent="0.3">
      <c r="A1" s="454" t="s">
        <v>88</v>
      </c>
    </row>
    <row r="2" spans="1:11" x14ac:dyDescent="0.25">
      <c r="A2" s="455" t="s">
        <v>95</v>
      </c>
      <c r="B2" s="293" t="s">
        <v>121</v>
      </c>
    </row>
    <row r="4" spans="1:11" s="444" customFormat="1" x14ac:dyDescent="0.25">
      <c r="B4" s="456" t="s">
        <v>100</v>
      </c>
      <c r="C4" s="456"/>
      <c r="D4" s="456"/>
      <c r="E4" s="456"/>
      <c r="F4" s="456"/>
      <c r="G4" s="457" t="s">
        <v>101</v>
      </c>
      <c r="H4" s="457"/>
      <c r="I4" s="457"/>
      <c r="J4" s="457"/>
      <c r="K4" s="457"/>
    </row>
    <row r="5" spans="1:11" s="459" customFormat="1" x14ac:dyDescent="0.25">
      <c r="A5" s="458" t="s">
        <v>2</v>
      </c>
      <c r="B5" s="458">
        <v>1991</v>
      </c>
      <c r="C5" s="458">
        <v>2000</v>
      </c>
      <c r="D5" s="458">
        <v>2005</v>
      </c>
      <c r="E5" s="458">
        <v>2010</v>
      </c>
      <c r="F5" s="458">
        <v>2013</v>
      </c>
      <c r="G5" s="458">
        <v>1991</v>
      </c>
      <c r="H5" s="458">
        <v>2000</v>
      </c>
      <c r="I5" s="458">
        <v>2005</v>
      </c>
      <c r="J5" s="458">
        <v>2010</v>
      </c>
      <c r="K5" s="458">
        <v>2013</v>
      </c>
    </row>
    <row r="6" spans="1:11" x14ac:dyDescent="0.25">
      <c r="A6" s="460" t="s">
        <v>14</v>
      </c>
      <c r="B6" s="461">
        <v>16</v>
      </c>
      <c r="C6" s="461">
        <v>13.8</v>
      </c>
      <c r="D6" s="461">
        <v>7.5</v>
      </c>
      <c r="E6" s="461">
        <v>4.8000000000000007</v>
      </c>
      <c r="F6" s="461">
        <v>5.2</v>
      </c>
      <c r="G6" s="461">
        <v>12.5</v>
      </c>
      <c r="H6" s="461">
        <v>13.100000000000001</v>
      </c>
      <c r="I6" s="461">
        <v>4.8000000000000007</v>
      </c>
      <c r="J6" s="461">
        <v>3</v>
      </c>
      <c r="K6" s="461">
        <v>2.9000000000000004</v>
      </c>
    </row>
    <row r="7" spans="1:11" x14ac:dyDescent="0.25">
      <c r="A7" s="460" t="s">
        <v>184</v>
      </c>
      <c r="B7" s="461">
        <v>8.1</v>
      </c>
      <c r="C7" s="461">
        <v>8.3000000000000007</v>
      </c>
      <c r="D7" s="461">
        <v>5.5000000000000009</v>
      </c>
      <c r="E7" s="461">
        <v>3.8</v>
      </c>
      <c r="F7" s="461">
        <v>4.4000000000000004</v>
      </c>
      <c r="G7" s="461">
        <v>0.5</v>
      </c>
      <c r="H7" s="461">
        <v>0.4</v>
      </c>
      <c r="I7" s="461">
        <v>0.60000000000000009</v>
      </c>
      <c r="J7" s="461">
        <v>0.8</v>
      </c>
      <c r="K7" s="461">
        <v>1.1000000000000001</v>
      </c>
    </row>
    <row r="8" spans="1:11" x14ac:dyDescent="0.25">
      <c r="A8" s="462" t="s">
        <v>20</v>
      </c>
      <c r="B8" s="461">
        <v>13.600000000000001</v>
      </c>
      <c r="C8" s="461">
        <v>13.200000000000001</v>
      </c>
      <c r="D8" s="461">
        <v>13.8</v>
      </c>
      <c r="E8" s="461">
        <v>13.3</v>
      </c>
      <c r="F8" s="461">
        <v>12.3</v>
      </c>
      <c r="G8" s="461">
        <v>10.9</v>
      </c>
      <c r="H8" s="461">
        <v>8.5</v>
      </c>
      <c r="I8" s="461">
        <v>9.1</v>
      </c>
      <c r="J8" s="461">
        <v>8.1</v>
      </c>
      <c r="K8" s="461">
        <v>7.2</v>
      </c>
    </row>
    <row r="9" spans="1:11" x14ac:dyDescent="0.25">
      <c r="A9" s="462" t="s">
        <v>22</v>
      </c>
      <c r="B9" s="461">
        <v>6.1000000000000005</v>
      </c>
      <c r="C9" s="461">
        <v>8</v>
      </c>
      <c r="D9" s="461">
        <v>10.3</v>
      </c>
      <c r="E9" s="461">
        <v>10.600000000000001</v>
      </c>
      <c r="F9" s="461">
        <v>10</v>
      </c>
      <c r="G9" s="461">
        <v>0.8</v>
      </c>
      <c r="H9" s="461">
        <v>0.70000000000000007</v>
      </c>
      <c r="I9" s="461">
        <v>1.2000000000000002</v>
      </c>
      <c r="J9" s="461">
        <v>1.6</v>
      </c>
      <c r="K9" s="461">
        <v>1.7000000000000002</v>
      </c>
    </row>
    <row r="10" spans="1:11" x14ac:dyDescent="0.25">
      <c r="A10" s="462" t="s">
        <v>150</v>
      </c>
      <c r="B10" s="461">
        <v>17.8</v>
      </c>
      <c r="C10" s="461">
        <v>18.3</v>
      </c>
      <c r="D10" s="461">
        <v>21.200000000000003</v>
      </c>
      <c r="E10" s="461">
        <v>19.5</v>
      </c>
      <c r="F10" s="461">
        <v>18.400000000000002</v>
      </c>
      <c r="G10" s="461">
        <v>19.899999999999999</v>
      </c>
      <c r="H10" s="461">
        <v>20.900000000000002</v>
      </c>
      <c r="I10" s="461">
        <v>25.400000000000002</v>
      </c>
      <c r="J10" s="461">
        <v>22.800000000000004</v>
      </c>
      <c r="K10" s="461">
        <v>21.7</v>
      </c>
    </row>
    <row r="11" spans="1:11" x14ac:dyDescent="0.25">
      <c r="A11" s="423" t="s">
        <v>151</v>
      </c>
      <c r="B11" s="461">
        <v>5.4</v>
      </c>
      <c r="C11" s="461">
        <v>6.4</v>
      </c>
      <c r="D11" s="461">
        <v>5.9</v>
      </c>
      <c r="E11" s="461">
        <v>7</v>
      </c>
      <c r="F11" s="461">
        <v>7.3000000000000007</v>
      </c>
      <c r="G11" s="461">
        <v>1.2000000000000002</v>
      </c>
      <c r="H11" s="461">
        <v>1.3</v>
      </c>
      <c r="I11" s="461">
        <v>1.9000000000000001</v>
      </c>
      <c r="J11" s="461">
        <v>2.2000000000000002</v>
      </c>
      <c r="K11" s="461">
        <v>2.1</v>
      </c>
    </row>
    <row r="12" spans="1:11" x14ac:dyDescent="0.25">
      <c r="A12" s="423" t="s">
        <v>152</v>
      </c>
      <c r="B12" s="461">
        <v>33</v>
      </c>
      <c r="C12" s="461">
        <v>31.9</v>
      </c>
      <c r="D12" s="461">
        <v>35.799999999999997</v>
      </c>
      <c r="E12" s="461">
        <v>40.900000000000006</v>
      </c>
      <c r="F12" s="461">
        <v>42.5</v>
      </c>
      <c r="G12" s="461">
        <v>54.100000000000009</v>
      </c>
      <c r="H12" s="461">
        <v>54.8</v>
      </c>
      <c r="I12" s="461">
        <v>56.800000000000004</v>
      </c>
      <c r="J12" s="461">
        <v>61.400000000000006</v>
      </c>
      <c r="K12" s="461">
        <v>63.300000000000004</v>
      </c>
    </row>
  </sheetData>
  <mergeCells count="2">
    <mergeCell ref="B4:F4"/>
    <mergeCell ref="G4:K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workbookViewId="0">
      <selection activeCell="N31" sqref="N31"/>
    </sheetView>
  </sheetViews>
  <sheetFormatPr defaultRowHeight="12" x14ac:dyDescent="0.25"/>
  <cols>
    <col min="1" max="1" width="11.140625" style="204" bestFit="1" customWidth="1"/>
    <col min="2" max="2" width="11.140625" style="204" customWidth="1"/>
    <col min="3" max="5" width="9.42578125" style="204" customWidth="1"/>
    <col min="6" max="6" width="9.42578125" style="205" customWidth="1"/>
    <col min="7" max="9" width="9.42578125" style="204" customWidth="1"/>
    <col min="10" max="10" width="9.42578125" style="205" customWidth="1"/>
    <col min="11" max="11" width="3" style="204" customWidth="1"/>
    <col min="12" max="15" width="8" style="204" customWidth="1"/>
    <col min="16" max="16" width="6.42578125" style="204" customWidth="1"/>
    <col min="17" max="21" width="8" style="204" customWidth="1"/>
    <col min="22" max="16384" width="9.140625" style="204"/>
  </cols>
  <sheetData>
    <row r="1" spans="1:20" ht="14.4" x14ac:dyDescent="0.25">
      <c r="A1" s="203" t="s">
        <v>94</v>
      </c>
      <c r="B1" s="203"/>
    </row>
    <row r="2" spans="1:20" s="206" customFormat="1" x14ac:dyDescent="0.25">
      <c r="A2" s="206" t="s">
        <v>95</v>
      </c>
      <c r="B2" s="207" t="s">
        <v>96</v>
      </c>
      <c r="E2" s="205"/>
      <c r="I2" s="205"/>
    </row>
    <row r="3" spans="1:20" x14ac:dyDescent="0.25">
      <c r="B3" s="208" t="s">
        <v>97</v>
      </c>
      <c r="E3" s="205"/>
      <c r="F3" s="204"/>
      <c r="I3" s="205"/>
      <c r="J3" s="204"/>
    </row>
    <row r="4" spans="1:20" ht="37.200000000000003" customHeight="1" x14ac:dyDescent="0.25">
      <c r="A4" s="209" t="s">
        <v>98</v>
      </c>
      <c r="B4" s="280" t="s">
        <v>99</v>
      </c>
      <c r="C4" s="280"/>
      <c r="D4" s="280"/>
      <c r="E4" s="280"/>
      <c r="F4" s="280"/>
      <c r="G4" s="280"/>
      <c r="H4" s="280"/>
      <c r="I4" s="280"/>
      <c r="J4" s="280"/>
      <c r="K4" s="210"/>
      <c r="L4" s="210"/>
      <c r="M4" s="210"/>
      <c r="N4" s="210"/>
      <c r="O4" s="210"/>
      <c r="P4" s="210"/>
      <c r="Q4" s="210"/>
      <c r="R4" s="210"/>
      <c r="S4" s="210"/>
      <c r="T4" s="210"/>
    </row>
    <row r="5" spans="1:20" s="211" customFormat="1" x14ac:dyDescent="0.25">
      <c r="C5" s="281" t="s">
        <v>100</v>
      </c>
      <c r="D5" s="281"/>
      <c r="E5" s="281"/>
      <c r="F5" s="212"/>
      <c r="G5" s="282" t="s">
        <v>101</v>
      </c>
      <c r="H5" s="282"/>
      <c r="I5" s="282"/>
      <c r="J5" s="213"/>
    </row>
    <row r="6" spans="1:20" s="214" customFormat="1" x14ac:dyDescent="0.25">
      <c r="C6" s="215" t="s">
        <v>14</v>
      </c>
      <c r="D6" s="214" t="s">
        <v>17</v>
      </c>
      <c r="E6" s="214" t="s">
        <v>23</v>
      </c>
      <c r="F6" s="216" t="s">
        <v>57</v>
      </c>
      <c r="G6" s="215" t="s">
        <v>14</v>
      </c>
      <c r="H6" s="214" t="s">
        <v>17</v>
      </c>
      <c r="I6" s="214" t="s">
        <v>23</v>
      </c>
      <c r="J6" s="216" t="s">
        <v>57</v>
      </c>
    </row>
    <row r="7" spans="1:20" x14ac:dyDescent="0.25">
      <c r="A7" s="217">
        <v>1991</v>
      </c>
      <c r="B7" s="218" t="s">
        <v>102</v>
      </c>
      <c r="C7" s="219">
        <v>21.089103698730469</v>
      </c>
      <c r="D7" s="219">
        <v>30.715564727783203</v>
      </c>
      <c r="E7" s="219">
        <v>48.195327758789063</v>
      </c>
      <c r="F7" s="220">
        <v>99.999996185302734</v>
      </c>
      <c r="G7" s="219">
        <v>30.963603973388672</v>
      </c>
      <c r="H7" s="219">
        <v>8.9589529037475586</v>
      </c>
      <c r="I7" s="219">
        <v>60.077438354492188</v>
      </c>
      <c r="J7" s="221">
        <f>SUM(G7:I7)</f>
        <v>99.999995231628418</v>
      </c>
    </row>
    <row r="8" spans="1:20" x14ac:dyDescent="0.25">
      <c r="A8" s="217">
        <v>2000</v>
      </c>
      <c r="B8" s="218" t="s">
        <v>102</v>
      </c>
      <c r="C8" s="219">
        <v>15.456591606140137</v>
      </c>
      <c r="D8" s="219">
        <v>33.696365356445313</v>
      </c>
      <c r="E8" s="219">
        <v>50.847038269042969</v>
      </c>
      <c r="F8" s="220">
        <v>99.999995231628418</v>
      </c>
      <c r="G8" s="219">
        <v>16.23051643371582</v>
      </c>
      <c r="H8" s="219">
        <v>12.195540428161621</v>
      </c>
      <c r="I8" s="219">
        <v>71.573944091796875</v>
      </c>
      <c r="J8" s="221">
        <f t="shared" ref="J8:J11" si="0">SUM(G8:I8)</f>
        <v>100.00000095367432</v>
      </c>
    </row>
    <row r="9" spans="1:20" x14ac:dyDescent="0.25">
      <c r="A9" s="217">
        <v>2005</v>
      </c>
      <c r="B9" s="218" t="s">
        <v>102</v>
      </c>
      <c r="C9" s="219">
        <v>8.6489648818969727</v>
      </c>
      <c r="D9" s="219">
        <v>34.59613037109375</v>
      </c>
      <c r="E9" s="219">
        <v>56.754898071289063</v>
      </c>
      <c r="F9" s="220">
        <v>99.999993324279785</v>
      </c>
      <c r="G9" s="219">
        <v>6.0311884880065918</v>
      </c>
      <c r="H9" s="219">
        <v>13.722735404968262</v>
      </c>
      <c r="I9" s="219">
        <v>80.246070861816406</v>
      </c>
      <c r="J9" s="221">
        <f t="shared" si="0"/>
        <v>99.99999475479126</v>
      </c>
    </row>
    <row r="10" spans="1:20" x14ac:dyDescent="0.25">
      <c r="A10" s="217">
        <v>2010</v>
      </c>
      <c r="B10" s="218" t="s">
        <v>102</v>
      </c>
      <c r="C10" s="219">
        <v>5.9381198883056641</v>
      </c>
      <c r="D10" s="219">
        <v>34.224979400634766</v>
      </c>
      <c r="E10" s="219">
        <v>59.836898803710937</v>
      </c>
      <c r="F10" s="220">
        <v>99.999998092651367</v>
      </c>
      <c r="G10" s="219">
        <v>4.528754711151123</v>
      </c>
      <c r="H10" s="219">
        <v>15.765680313110352</v>
      </c>
      <c r="I10" s="219">
        <v>79.705558776855469</v>
      </c>
      <c r="J10" s="221">
        <f t="shared" si="0"/>
        <v>99.999993801116943</v>
      </c>
    </row>
    <row r="11" spans="1:20" x14ac:dyDescent="0.25">
      <c r="A11" s="217">
        <v>2012</v>
      </c>
      <c r="B11" s="218" t="s">
        <v>102</v>
      </c>
      <c r="C11" s="219">
        <v>5.4387893676757812</v>
      </c>
      <c r="D11" s="219">
        <v>33.564010620117187</v>
      </c>
      <c r="E11" s="219">
        <v>60.9971923828125</v>
      </c>
      <c r="F11" s="220">
        <v>99.999992370605469</v>
      </c>
      <c r="G11" s="219">
        <v>3.7984097003936768</v>
      </c>
      <c r="H11" s="219">
        <v>15.269258499145508</v>
      </c>
      <c r="I11" s="219">
        <v>80.932327270507813</v>
      </c>
      <c r="J11" s="221">
        <f t="shared" si="0"/>
        <v>99.999995470046997</v>
      </c>
    </row>
  </sheetData>
  <mergeCells count="3">
    <mergeCell ref="B4:J4"/>
    <mergeCell ref="C5:E5"/>
    <mergeCell ref="G5:I5"/>
  </mergeCells>
  <hyperlinks>
    <hyperlink ref="B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11"/>
  <sheetViews>
    <sheetView showGridLines="0" workbookViewId="0">
      <pane xSplit="3" topLeftCell="R1" activePane="topRight" state="frozen"/>
      <selection activeCell="L5" sqref="L5"/>
      <selection pane="topRight" activeCell="A4" sqref="A4"/>
    </sheetView>
  </sheetViews>
  <sheetFormatPr defaultColWidth="11.7109375" defaultRowHeight="12" x14ac:dyDescent="0.25"/>
  <cols>
    <col min="1" max="1" width="30.28515625" style="4" customWidth="1"/>
    <col min="2" max="2" width="6" style="11" customWidth="1"/>
    <col min="3" max="3" width="7" style="45" customWidth="1"/>
    <col min="4" max="5" width="7.85546875" style="4" customWidth="1"/>
    <col min="6" max="6" width="9.140625" style="4" bestFit="1" customWidth="1"/>
    <col min="7" max="7" width="9.140625" style="4" customWidth="1"/>
    <col min="8" max="8" width="10.42578125" style="4" customWidth="1"/>
    <col min="9" max="9" width="10.85546875" style="4" bestFit="1" customWidth="1"/>
    <col min="10" max="12" width="8.42578125" style="4" customWidth="1"/>
    <col min="13" max="15" width="10.140625" style="4" customWidth="1"/>
    <col min="16" max="16" width="7.7109375" style="4" customWidth="1"/>
    <col min="17" max="21" width="7.85546875" style="4" customWidth="1"/>
    <col min="22" max="27" width="9.7109375" style="5" customWidth="1"/>
    <col min="28" max="16384" width="11.7109375" style="4"/>
  </cols>
  <sheetData>
    <row r="1" spans="1:27" ht="14.4" x14ac:dyDescent="0.25">
      <c r="A1" s="1" t="s">
        <v>0</v>
      </c>
      <c r="B1" s="2"/>
      <c r="C1" s="3"/>
    </row>
    <row r="2" spans="1:27" s="6" customFormat="1" ht="14.4" x14ac:dyDescent="0.25">
      <c r="A2" s="113" t="s">
        <v>87</v>
      </c>
      <c r="B2" s="114"/>
      <c r="C2" s="115"/>
      <c r="D2" s="267"/>
      <c r="E2" s="268"/>
      <c r="F2" s="268"/>
      <c r="G2" s="268"/>
      <c r="H2" s="268"/>
      <c r="I2" s="268"/>
      <c r="J2" s="267"/>
      <c r="K2" s="268"/>
      <c r="L2" s="268"/>
      <c r="M2" s="268"/>
      <c r="N2" s="268"/>
      <c r="O2" s="268"/>
      <c r="P2" s="267"/>
      <c r="Q2" s="268"/>
      <c r="R2" s="268"/>
      <c r="S2" s="268"/>
      <c r="T2" s="268"/>
      <c r="U2" s="268"/>
      <c r="V2" s="267"/>
      <c r="W2" s="268"/>
      <c r="X2" s="268"/>
      <c r="Y2" s="268"/>
      <c r="Z2" s="268"/>
      <c r="AA2" s="268"/>
    </row>
    <row r="3" spans="1:27" s="6" customFormat="1" ht="14.4" x14ac:dyDescent="0.25">
      <c r="A3" s="283" t="s">
        <v>115</v>
      </c>
      <c r="B3" s="114"/>
      <c r="C3" s="115"/>
      <c r="D3" s="231"/>
      <c r="E3" s="232"/>
      <c r="F3" s="232"/>
      <c r="G3" s="232"/>
      <c r="H3" s="232"/>
      <c r="I3" s="232"/>
      <c r="J3" s="231"/>
      <c r="K3" s="232"/>
      <c r="L3" s="232"/>
      <c r="M3" s="232"/>
      <c r="N3" s="232"/>
      <c r="O3" s="232"/>
      <c r="P3" s="231"/>
      <c r="Q3" s="232"/>
      <c r="R3" s="232"/>
      <c r="S3" s="232"/>
      <c r="T3" s="232"/>
      <c r="U3" s="232"/>
      <c r="V3" s="231"/>
      <c r="W3" s="232"/>
      <c r="X3" s="232"/>
      <c r="Y3" s="232"/>
      <c r="Z3" s="232"/>
      <c r="AA3" s="232"/>
    </row>
    <row r="4" spans="1:27" s="6" customFormat="1" x14ac:dyDescent="0.25">
      <c r="A4" s="116" t="s">
        <v>1</v>
      </c>
      <c r="B4" s="117"/>
      <c r="C4" s="118"/>
      <c r="D4" s="269"/>
      <c r="E4" s="269"/>
      <c r="F4" s="269"/>
      <c r="G4" s="269"/>
      <c r="H4" s="269"/>
      <c r="I4" s="269"/>
      <c r="J4" s="8"/>
      <c r="K4" s="8"/>
      <c r="L4" s="8"/>
      <c r="M4" s="8"/>
      <c r="N4" s="8"/>
      <c r="O4" s="8"/>
      <c r="P4" s="8"/>
      <c r="Q4" s="8"/>
      <c r="R4" s="8"/>
      <c r="S4" s="8"/>
      <c r="T4" s="8"/>
      <c r="U4" s="8"/>
      <c r="V4" s="270"/>
      <c r="W4" s="269"/>
      <c r="X4" s="269"/>
      <c r="Y4" s="269"/>
      <c r="Z4" s="269"/>
      <c r="AA4" s="269"/>
    </row>
    <row r="5" spans="1:27" s="9" customFormat="1" ht="25.5" customHeight="1" x14ac:dyDescent="0.25">
      <c r="A5" s="258" t="s">
        <v>2</v>
      </c>
      <c r="B5" s="260" t="s">
        <v>41</v>
      </c>
      <c r="C5" s="262" t="s">
        <v>85</v>
      </c>
      <c r="D5" s="254" t="s">
        <v>3</v>
      </c>
      <c r="E5" s="255"/>
      <c r="F5" s="255"/>
      <c r="G5" s="255"/>
      <c r="H5" s="255"/>
      <c r="I5" s="256"/>
      <c r="J5" s="264" t="s">
        <v>4</v>
      </c>
      <c r="K5" s="265"/>
      <c r="L5" s="265"/>
      <c r="M5" s="265"/>
      <c r="N5" s="265"/>
      <c r="O5" s="266"/>
      <c r="P5" s="245" t="s">
        <v>5</v>
      </c>
      <c r="Q5" s="246"/>
      <c r="R5" s="246"/>
      <c r="S5" s="246"/>
      <c r="T5" s="246"/>
      <c r="U5" s="247"/>
      <c r="V5" s="257" t="s">
        <v>6</v>
      </c>
      <c r="W5" s="257"/>
      <c r="X5" s="257"/>
      <c r="Y5" s="257"/>
      <c r="Z5" s="257"/>
      <c r="AA5" s="257"/>
    </row>
    <row r="6" spans="1:27" s="54" customFormat="1" ht="25.2" customHeight="1" x14ac:dyDescent="0.25">
      <c r="A6" s="259"/>
      <c r="B6" s="261"/>
      <c r="C6" s="263"/>
      <c r="D6" s="72" t="s">
        <v>62</v>
      </c>
      <c r="E6" s="72" t="s">
        <v>7</v>
      </c>
      <c r="F6" s="72" t="s">
        <v>8</v>
      </c>
      <c r="G6" s="169">
        <v>2000</v>
      </c>
      <c r="H6" s="169">
        <v>2005</v>
      </c>
      <c r="I6" s="72" t="s">
        <v>9</v>
      </c>
      <c r="J6" s="64" t="s">
        <v>62</v>
      </c>
      <c r="K6" s="64" t="s">
        <v>7</v>
      </c>
      <c r="L6" s="64" t="s">
        <v>8</v>
      </c>
      <c r="M6" s="170">
        <v>2000</v>
      </c>
      <c r="N6" s="170">
        <v>2005</v>
      </c>
      <c r="O6" s="64" t="s">
        <v>9</v>
      </c>
      <c r="P6" s="171" t="s">
        <v>62</v>
      </c>
      <c r="Q6" s="171" t="s">
        <v>7</v>
      </c>
      <c r="R6" s="171" t="s">
        <v>8</v>
      </c>
      <c r="S6" s="172">
        <v>2000</v>
      </c>
      <c r="T6" s="172">
        <v>2005</v>
      </c>
      <c r="U6" s="171" t="s">
        <v>9</v>
      </c>
      <c r="V6" s="173" t="s">
        <v>62</v>
      </c>
      <c r="W6" s="173" t="s">
        <v>7</v>
      </c>
      <c r="X6" s="173" t="s">
        <v>8</v>
      </c>
      <c r="Y6" s="174">
        <v>2000</v>
      </c>
      <c r="Z6" s="174">
        <v>2005</v>
      </c>
      <c r="AA6" s="173" t="s">
        <v>9</v>
      </c>
    </row>
    <row r="7" spans="1:27" s="11" customFormat="1" x14ac:dyDescent="0.25">
      <c r="A7" s="12"/>
      <c r="B7" s="13"/>
      <c r="C7" s="14"/>
      <c r="D7" s="15"/>
      <c r="E7" s="15"/>
      <c r="F7" s="15"/>
      <c r="G7" s="13"/>
      <c r="H7" s="13"/>
      <c r="I7" s="15"/>
      <c r="J7" s="13"/>
      <c r="K7" s="13"/>
      <c r="L7" s="13"/>
      <c r="M7" s="13"/>
      <c r="N7" s="13"/>
      <c r="O7" s="13"/>
      <c r="P7" s="13"/>
      <c r="Q7" s="13"/>
      <c r="R7" s="13"/>
      <c r="S7" s="13"/>
      <c r="T7" s="13"/>
      <c r="U7" s="13"/>
      <c r="V7" s="16"/>
      <c r="W7" s="16"/>
      <c r="X7" s="16"/>
      <c r="Y7" s="16"/>
      <c r="Z7" s="16"/>
      <c r="AA7" s="16"/>
    </row>
    <row r="8" spans="1:27" s="10" customFormat="1" x14ac:dyDescent="0.25">
      <c r="A8" s="75" t="s">
        <v>14</v>
      </c>
      <c r="B8" s="65">
        <v>7</v>
      </c>
      <c r="C8" s="17" t="s">
        <v>15</v>
      </c>
      <c r="D8" s="189">
        <v>559</v>
      </c>
      <c r="E8" s="189">
        <v>1985</v>
      </c>
      <c r="F8" s="189">
        <v>12184</v>
      </c>
      <c r="G8" s="189">
        <v>27451</v>
      </c>
      <c r="H8" s="189">
        <v>37402</v>
      </c>
      <c r="I8" s="189">
        <v>58644</v>
      </c>
      <c r="J8" s="189">
        <v>15321.000000000007</v>
      </c>
      <c r="K8" s="189">
        <v>22133.000000000011</v>
      </c>
      <c r="L8" s="189">
        <v>32441.000000000018</v>
      </c>
      <c r="M8" s="189">
        <v>34761</v>
      </c>
      <c r="N8" s="189">
        <v>37402</v>
      </c>
      <c r="O8" s="189">
        <v>41700.999999999985</v>
      </c>
      <c r="P8" s="189">
        <v>3375</v>
      </c>
      <c r="Q8" s="189">
        <v>2501.2916923327884</v>
      </c>
      <c r="R8" s="189">
        <v>2410.2538847146852</v>
      </c>
      <c r="S8" s="189">
        <v>2495.3574907631169</v>
      </c>
      <c r="T8" s="189">
        <v>2006.2849872773538</v>
      </c>
      <c r="U8" s="189">
        <v>2196.75</v>
      </c>
      <c r="V8" s="18">
        <f t="shared" ref="V8:V16" si="0">(J8*1000000)/(P8*1000)</f>
        <v>4539.5555555555575</v>
      </c>
      <c r="W8" s="18">
        <f t="shared" ref="W8:Z8" si="1">(K8*1000000)/(Q8*1000)</f>
        <v>8848.6281179617381</v>
      </c>
      <c r="X8" s="18">
        <f t="shared" si="1"/>
        <v>13459.577933152148</v>
      </c>
      <c r="Y8" s="18">
        <f t="shared" si="1"/>
        <v>13930.26856018517</v>
      </c>
      <c r="Z8" s="18">
        <f t="shared" si="1"/>
        <v>18642.416325288214</v>
      </c>
      <c r="AA8" s="18">
        <f t="shared" ref="AA8:AA16" si="2">(O8*1000000)/(U8*1000)</f>
        <v>18983.043131899391</v>
      </c>
    </row>
    <row r="9" spans="1:27" s="10" customFormat="1" x14ac:dyDescent="0.25">
      <c r="A9" s="75" t="s">
        <v>17</v>
      </c>
      <c r="B9" s="124">
        <f>+B8+1</f>
        <v>8</v>
      </c>
      <c r="C9" s="19" t="s">
        <v>18</v>
      </c>
      <c r="D9" s="20">
        <f t="shared" ref="D9:U9" si="3">+D10+D11+D14</f>
        <v>1888</v>
      </c>
      <c r="E9" s="20">
        <f t="shared" si="3"/>
        <v>10668</v>
      </c>
      <c r="F9" s="20">
        <f t="shared" si="3"/>
        <v>105516</v>
      </c>
      <c r="G9" s="20">
        <f t="shared" si="3"/>
        <v>266400</v>
      </c>
      <c r="H9" s="20">
        <f t="shared" si="3"/>
        <v>436661</v>
      </c>
      <c r="I9" s="20">
        <f t="shared" si="3"/>
        <v>733791</v>
      </c>
      <c r="J9" s="20">
        <f t="shared" si="3"/>
        <v>141105</v>
      </c>
      <c r="K9" s="20">
        <f t="shared" si="3"/>
        <v>279976</v>
      </c>
      <c r="L9" s="20">
        <f t="shared" si="3"/>
        <v>348879</v>
      </c>
      <c r="M9" s="20">
        <f t="shared" si="3"/>
        <v>376784.00000000006</v>
      </c>
      <c r="N9" s="20">
        <f t="shared" si="3"/>
        <v>436661</v>
      </c>
      <c r="O9" s="20">
        <f t="shared" si="3"/>
        <v>473505.99999999994</v>
      </c>
      <c r="P9" s="20">
        <f t="shared" si="3"/>
        <v>1562.6239999999998</v>
      </c>
      <c r="Q9" s="20">
        <f t="shared" si="3"/>
        <v>2340.363980760786</v>
      </c>
      <c r="R9" s="20">
        <f t="shared" si="3"/>
        <v>3376.5526030919618</v>
      </c>
      <c r="S9" s="20">
        <f t="shared" si="3"/>
        <v>3032.8127311547778</v>
      </c>
      <c r="T9" s="20">
        <f t="shared" si="3"/>
        <v>3233</v>
      </c>
      <c r="U9" s="20">
        <f t="shared" si="3"/>
        <v>3194</v>
      </c>
      <c r="V9" s="18">
        <f t="shared" si="0"/>
        <v>90300.033789318491</v>
      </c>
      <c r="W9" s="18">
        <f t="shared" ref="W9:Z9" si="4">(K9*1000000)/(Q9*1000)</f>
        <v>119629.25523618241</v>
      </c>
      <c r="X9" s="18">
        <f t="shared" si="4"/>
        <v>103324.02334870367</v>
      </c>
      <c r="Y9" s="18">
        <f t="shared" si="4"/>
        <v>124235.82772831981</v>
      </c>
      <c r="Z9" s="18">
        <f t="shared" si="4"/>
        <v>135063.71790906278</v>
      </c>
      <c r="AA9" s="18">
        <f t="shared" si="2"/>
        <v>148248.59110832811</v>
      </c>
    </row>
    <row r="10" spans="1:27" s="10" customFormat="1" x14ac:dyDescent="0.25">
      <c r="A10" s="76" t="s">
        <v>19</v>
      </c>
      <c r="B10" s="125">
        <f t="shared" ref="B10:B27" si="5">+B9+1</f>
        <v>9</v>
      </c>
      <c r="C10" s="22" t="s">
        <v>15</v>
      </c>
      <c r="D10" s="182">
        <v>618</v>
      </c>
      <c r="E10" s="182">
        <v>2869</v>
      </c>
      <c r="F10" s="182">
        <v>24107</v>
      </c>
      <c r="G10" s="182">
        <v>63391</v>
      </c>
      <c r="H10" s="182">
        <v>105992</v>
      </c>
      <c r="I10" s="182">
        <v>227117</v>
      </c>
      <c r="J10" s="182">
        <v>82224.000000000044</v>
      </c>
      <c r="K10" s="182">
        <v>96161.000000000044</v>
      </c>
      <c r="L10" s="182">
        <v>101941.00000000003</v>
      </c>
      <c r="M10" s="182">
        <v>99122.000000000044</v>
      </c>
      <c r="N10" s="182">
        <v>105992</v>
      </c>
      <c r="O10" s="182">
        <v>99223</v>
      </c>
      <c r="P10" s="182">
        <v>614.85199999999998</v>
      </c>
      <c r="Q10" s="182">
        <v>582.15925957380352</v>
      </c>
      <c r="R10" s="182">
        <v>981.4336491660797</v>
      </c>
      <c r="S10" s="182">
        <v>465.82828282828285</v>
      </c>
      <c r="T10" s="182">
        <v>343</v>
      </c>
      <c r="U10" s="182">
        <v>305</v>
      </c>
      <c r="V10" s="23">
        <f t="shared" si="0"/>
        <v>133729.74309264676</v>
      </c>
      <c r="W10" s="23">
        <f t="shared" ref="W10:Z10" si="6">(K10*1000000)/(Q10*1000)</f>
        <v>165179.88577627216</v>
      </c>
      <c r="X10" s="23">
        <f t="shared" si="6"/>
        <v>103869.47715377285</v>
      </c>
      <c r="Y10" s="23">
        <f t="shared" si="6"/>
        <v>212786.56460741168</v>
      </c>
      <c r="Z10" s="23">
        <f t="shared" si="6"/>
        <v>309014.57725947519</v>
      </c>
      <c r="AA10" s="23">
        <f t="shared" si="2"/>
        <v>325321.31147540984</v>
      </c>
    </row>
    <row r="11" spans="1:27" s="10" customFormat="1" x14ac:dyDescent="0.25">
      <c r="A11" s="76" t="s">
        <v>20</v>
      </c>
      <c r="B11" s="125">
        <f t="shared" si="5"/>
        <v>10</v>
      </c>
      <c r="C11" s="22" t="s">
        <v>15</v>
      </c>
      <c r="D11" s="182">
        <v>1001</v>
      </c>
      <c r="E11" s="182">
        <v>5880</v>
      </c>
      <c r="F11" s="182">
        <v>62208</v>
      </c>
      <c r="G11" s="182">
        <v>159106</v>
      </c>
      <c r="H11" s="182">
        <v>259101</v>
      </c>
      <c r="I11" s="182">
        <v>332470</v>
      </c>
      <c r="J11" s="182">
        <v>45484.999999999956</v>
      </c>
      <c r="K11" s="182">
        <v>138614.99999999997</v>
      </c>
      <c r="L11" s="182">
        <v>195717.00000000003</v>
      </c>
      <c r="M11" s="182">
        <v>222666.00000000003</v>
      </c>
      <c r="N11" s="182">
        <v>259101</v>
      </c>
      <c r="O11" s="182">
        <v>282214.99999999994</v>
      </c>
      <c r="P11" s="182">
        <v>643.52</v>
      </c>
      <c r="Q11" s="182">
        <v>1129.3813669406352</v>
      </c>
      <c r="R11" s="182">
        <v>1646.8714099584295</v>
      </c>
      <c r="S11" s="182">
        <v>1821.5796847635729</v>
      </c>
      <c r="T11" s="182">
        <v>1860</v>
      </c>
      <c r="U11" s="182">
        <v>1739</v>
      </c>
      <c r="V11" s="23">
        <f t="shared" si="0"/>
        <v>70681.563898557855</v>
      </c>
      <c r="W11" s="23">
        <f t="shared" ref="W11:Z11" si="7">(K11*1000000)/(Q11*1000)</f>
        <v>122735.33463323565</v>
      </c>
      <c r="X11" s="23">
        <f t="shared" si="7"/>
        <v>118841.70118961525</v>
      </c>
      <c r="Y11" s="23">
        <f t="shared" si="7"/>
        <v>122237.85863581389</v>
      </c>
      <c r="Z11" s="23">
        <f t="shared" si="7"/>
        <v>139301.61290322582</v>
      </c>
      <c r="AA11" s="23">
        <f t="shared" si="2"/>
        <v>162285.79643473256</v>
      </c>
    </row>
    <row r="12" spans="1:27" s="25" customFormat="1" x14ac:dyDescent="0.25">
      <c r="A12" s="24" t="s">
        <v>21</v>
      </c>
      <c r="B12" s="125">
        <f t="shared" si="5"/>
        <v>11</v>
      </c>
      <c r="C12" s="22" t="s">
        <v>15</v>
      </c>
      <c r="D12" s="182">
        <v>120</v>
      </c>
      <c r="E12" s="182">
        <v>589</v>
      </c>
      <c r="F12" s="182">
        <v>10563</v>
      </c>
      <c r="G12" s="182">
        <v>22789</v>
      </c>
      <c r="H12" s="182">
        <v>33010</v>
      </c>
      <c r="I12" s="182">
        <v>71403</v>
      </c>
      <c r="J12" s="182">
        <v>3786</v>
      </c>
      <c r="K12" s="182">
        <v>10559.999999999996</v>
      </c>
      <c r="L12" s="182">
        <v>22466.999999999982</v>
      </c>
      <c r="M12" s="182">
        <v>28586</v>
      </c>
      <c r="N12" s="182">
        <v>33010</v>
      </c>
      <c r="O12" s="182">
        <v>34287.000000000015</v>
      </c>
      <c r="P12" s="182">
        <v>28.332000000000001</v>
      </c>
      <c r="Q12" s="182">
        <v>61.828858766494093</v>
      </c>
      <c r="R12" s="182">
        <v>114.00303461641255</v>
      </c>
      <c r="S12" s="182">
        <v>73.289156626506028</v>
      </c>
      <c r="T12" s="182">
        <v>93</v>
      </c>
      <c r="U12" s="182">
        <v>90</v>
      </c>
      <c r="V12" s="23">
        <f t="shared" si="0"/>
        <v>133629.8178737823</v>
      </c>
      <c r="W12" s="23">
        <f t="shared" ref="W12:Z14" si="8">(K12*1000000)/(Q12*1000)</f>
        <v>170794.03066262975</v>
      </c>
      <c r="X12" s="23">
        <f t="shared" si="8"/>
        <v>197073.70137641492</v>
      </c>
      <c r="Y12" s="23">
        <f t="shared" si="8"/>
        <v>390044.05720861419</v>
      </c>
      <c r="Z12" s="23">
        <f t="shared" si="8"/>
        <v>354946.2365591398</v>
      </c>
      <c r="AA12" s="23">
        <f t="shared" si="2"/>
        <v>380966.66666666686</v>
      </c>
    </row>
    <row r="13" spans="1:27" s="25" customFormat="1" x14ac:dyDescent="0.25">
      <c r="A13" s="26" t="s">
        <v>22</v>
      </c>
      <c r="B13" s="125">
        <f t="shared" si="5"/>
        <v>12</v>
      </c>
      <c r="C13" s="22" t="s">
        <v>15</v>
      </c>
      <c r="D13" s="182">
        <v>149</v>
      </c>
      <c r="E13" s="182">
        <v>1330</v>
      </c>
      <c r="F13" s="182">
        <v>8638</v>
      </c>
      <c r="G13" s="182">
        <v>21114</v>
      </c>
      <c r="H13" s="182">
        <v>38558</v>
      </c>
      <c r="I13" s="182">
        <v>102801</v>
      </c>
      <c r="J13" s="182">
        <v>9609.9999999999909</v>
      </c>
      <c r="K13" s="182">
        <v>34639.999999999993</v>
      </c>
      <c r="L13" s="182">
        <v>28753.999999999975</v>
      </c>
      <c r="M13" s="182">
        <v>26409.999999999993</v>
      </c>
      <c r="N13" s="182">
        <v>38558</v>
      </c>
      <c r="O13" s="182">
        <v>57781</v>
      </c>
      <c r="P13" s="182">
        <v>275.92</v>
      </c>
      <c r="Q13" s="182">
        <v>566.99449547985296</v>
      </c>
      <c r="R13" s="182">
        <v>634.24450935104005</v>
      </c>
      <c r="S13" s="182">
        <v>672.11560693641627</v>
      </c>
      <c r="T13" s="182">
        <v>937.00000000000011</v>
      </c>
      <c r="U13" s="182">
        <v>1060</v>
      </c>
      <c r="V13" s="23">
        <f t="shared" si="0"/>
        <v>34828.93592345604</v>
      </c>
      <c r="W13" s="23">
        <f t="shared" si="8"/>
        <v>61094.067537082206</v>
      </c>
      <c r="X13" s="23">
        <f t="shared" si="8"/>
        <v>45335.828022257716</v>
      </c>
      <c r="Y13" s="23">
        <f t="shared" si="8"/>
        <v>39293.835357253418</v>
      </c>
      <c r="Z13" s="23">
        <f t="shared" si="8"/>
        <v>41150.480256136601</v>
      </c>
      <c r="AA13" s="23">
        <f t="shared" si="2"/>
        <v>54510.377358490565</v>
      </c>
    </row>
    <row r="14" spans="1:27" s="10" customFormat="1" x14ac:dyDescent="0.25">
      <c r="A14" s="138" t="s">
        <v>61</v>
      </c>
      <c r="B14" s="126">
        <f t="shared" si="5"/>
        <v>13</v>
      </c>
      <c r="C14" s="27" t="s">
        <v>18</v>
      </c>
      <c r="D14" s="28">
        <f>+D13+D12</f>
        <v>269</v>
      </c>
      <c r="E14" s="28">
        <f t="shared" ref="E14:I14" si="9">+E13+E12</f>
        <v>1919</v>
      </c>
      <c r="F14" s="28">
        <f t="shared" si="9"/>
        <v>19201</v>
      </c>
      <c r="G14" s="28">
        <f t="shared" si="9"/>
        <v>43903</v>
      </c>
      <c r="H14" s="28">
        <f t="shared" si="9"/>
        <v>71568</v>
      </c>
      <c r="I14" s="28">
        <f t="shared" si="9"/>
        <v>174204</v>
      </c>
      <c r="J14" s="28">
        <f>+J13+J12</f>
        <v>13395.999999999991</v>
      </c>
      <c r="K14" s="28">
        <f t="shared" ref="K14:O14" si="10">+K13+K12</f>
        <v>45199.999999999985</v>
      </c>
      <c r="L14" s="28">
        <f t="shared" si="10"/>
        <v>51220.999999999956</v>
      </c>
      <c r="M14" s="28">
        <f t="shared" si="10"/>
        <v>54995.999999999993</v>
      </c>
      <c r="N14" s="28">
        <f t="shared" si="10"/>
        <v>71568</v>
      </c>
      <c r="O14" s="28">
        <f t="shared" si="10"/>
        <v>92068.000000000015</v>
      </c>
      <c r="P14" s="28">
        <f>+P13+P12</f>
        <v>304.25200000000001</v>
      </c>
      <c r="Q14" s="28">
        <f t="shared" ref="Q14:U14" si="11">+Q13+Q12</f>
        <v>628.82335424634709</v>
      </c>
      <c r="R14" s="28">
        <f t="shared" si="11"/>
        <v>748.24754396745266</v>
      </c>
      <c r="S14" s="28">
        <f t="shared" si="11"/>
        <v>745.40476356292231</v>
      </c>
      <c r="T14" s="28">
        <f t="shared" si="11"/>
        <v>1030</v>
      </c>
      <c r="U14" s="28">
        <f t="shared" si="11"/>
        <v>1150</v>
      </c>
      <c r="V14" s="23">
        <f t="shared" si="0"/>
        <v>44029.291508354887</v>
      </c>
      <c r="W14" s="23">
        <f t="shared" si="8"/>
        <v>71880.281950044257</v>
      </c>
      <c r="X14" s="23">
        <f t="shared" si="8"/>
        <v>68454.61827834342</v>
      </c>
      <c r="Y14" s="23">
        <f t="shared" si="8"/>
        <v>73780.049026152454</v>
      </c>
      <c r="Z14" s="23">
        <f t="shared" si="8"/>
        <v>69483.495145631066</v>
      </c>
      <c r="AA14" s="23">
        <f t="shared" si="2"/>
        <v>80059.130434782623</v>
      </c>
    </row>
    <row r="15" spans="1:27" s="10" customFormat="1" x14ac:dyDescent="0.25">
      <c r="A15" s="75" t="s">
        <v>23</v>
      </c>
      <c r="B15" s="124">
        <f t="shared" si="5"/>
        <v>14</v>
      </c>
      <c r="C15" s="19" t="s">
        <v>18</v>
      </c>
      <c r="D15" s="20">
        <f t="shared" ref="D15:U15" si="12">+D16+D23</f>
        <v>2273.0956072351419</v>
      </c>
      <c r="E15" s="20">
        <f t="shared" si="12"/>
        <v>11917.79717972674</v>
      </c>
      <c r="F15" s="20">
        <f t="shared" si="12"/>
        <v>133297.71686576851</v>
      </c>
      <c r="G15" s="20">
        <f t="shared" si="12"/>
        <v>489106.32192627608</v>
      </c>
      <c r="H15" s="20">
        <f t="shared" si="12"/>
        <v>830212.20364754763</v>
      </c>
      <c r="I15" s="20">
        <f t="shared" si="12"/>
        <v>1465785.1067117543</v>
      </c>
      <c r="J15" s="20">
        <f t="shared" si="12"/>
        <v>153937.15285055185</v>
      </c>
      <c r="K15" s="20">
        <f t="shared" si="12"/>
        <v>346336.86101825471</v>
      </c>
      <c r="L15" s="20">
        <f t="shared" si="12"/>
        <v>524413.96574637212</v>
      </c>
      <c r="M15" s="20">
        <f t="shared" si="12"/>
        <v>669132.42276762007</v>
      </c>
      <c r="N15" s="20">
        <f t="shared" si="12"/>
        <v>830212.20364754763</v>
      </c>
      <c r="O15" s="20">
        <f t="shared" si="12"/>
        <v>1013257.9837752357</v>
      </c>
      <c r="P15" s="20">
        <f t="shared" si="12"/>
        <v>1984.6110000000003</v>
      </c>
      <c r="Q15" s="20">
        <f t="shared" si="12"/>
        <v>3092.7057735104972</v>
      </c>
      <c r="R15" s="20">
        <f t="shared" si="12"/>
        <v>5423.6549907137141</v>
      </c>
      <c r="S15" s="20">
        <f t="shared" si="12"/>
        <v>7843.4413914859506</v>
      </c>
      <c r="T15" s="20">
        <f t="shared" si="12"/>
        <v>8796</v>
      </c>
      <c r="U15" s="20">
        <f t="shared" si="12"/>
        <v>9228</v>
      </c>
      <c r="V15" s="18">
        <f t="shared" si="0"/>
        <v>77565.403421905765</v>
      </c>
      <c r="W15" s="18">
        <f t="shared" ref="W15:Z15" si="13">(K15*1000000)/(Q15*1000)</f>
        <v>111985.06627584281</v>
      </c>
      <c r="X15" s="18">
        <f t="shared" si="13"/>
        <v>96690.140992423825</v>
      </c>
      <c r="Y15" s="18">
        <f t="shared" si="13"/>
        <v>85311.075759928906</v>
      </c>
      <c r="Z15" s="18">
        <f t="shared" si="13"/>
        <v>94385.198231872171</v>
      </c>
      <c r="AA15" s="18">
        <f t="shared" si="2"/>
        <v>109802.55567568657</v>
      </c>
    </row>
    <row r="16" spans="1:27" s="10" customFormat="1" x14ac:dyDescent="0.25">
      <c r="A16" s="76" t="s">
        <v>24</v>
      </c>
      <c r="B16" s="125">
        <f t="shared" si="5"/>
        <v>15</v>
      </c>
      <c r="C16" s="27" t="s">
        <v>18</v>
      </c>
      <c r="D16" s="28">
        <f t="shared" ref="D16:U16" si="14">+D19+D22</f>
        <v>1449.0956072351421</v>
      </c>
      <c r="E16" s="28">
        <f t="shared" si="14"/>
        <v>7738.7971797267401</v>
      </c>
      <c r="F16" s="28">
        <f t="shared" si="14"/>
        <v>83004.716865768511</v>
      </c>
      <c r="G16" s="28">
        <f t="shared" si="14"/>
        <v>304566.32192627608</v>
      </c>
      <c r="H16" s="28">
        <f t="shared" si="14"/>
        <v>533196.20364754763</v>
      </c>
      <c r="I16" s="28">
        <f t="shared" si="14"/>
        <v>914201.10671175434</v>
      </c>
      <c r="J16" s="28">
        <f t="shared" si="14"/>
        <v>77021.95348837215</v>
      </c>
      <c r="K16" s="28">
        <f t="shared" si="14"/>
        <v>205826.54931607947</v>
      </c>
      <c r="L16" s="28">
        <f t="shared" si="14"/>
        <v>294575.8325888461</v>
      </c>
      <c r="M16" s="28">
        <f t="shared" si="14"/>
        <v>404477.42957245064</v>
      </c>
      <c r="N16" s="28">
        <f t="shared" si="14"/>
        <v>533196.20364754763</v>
      </c>
      <c r="O16" s="28">
        <f t="shared" si="14"/>
        <v>664394.36375244684</v>
      </c>
      <c r="P16" s="28">
        <f t="shared" si="14"/>
        <v>1075.583031886121</v>
      </c>
      <c r="Q16" s="28">
        <f t="shared" si="14"/>
        <v>1694.6367862587017</v>
      </c>
      <c r="R16" s="28">
        <f t="shared" si="14"/>
        <v>3084.3464171366591</v>
      </c>
      <c r="S16" s="28">
        <f t="shared" si="14"/>
        <v>4499.52190588349</v>
      </c>
      <c r="T16" s="28">
        <f t="shared" si="14"/>
        <v>5223</v>
      </c>
      <c r="U16" s="28">
        <f t="shared" si="14"/>
        <v>5357</v>
      </c>
      <c r="V16" s="23">
        <f t="shared" si="0"/>
        <v>71609.49104348362</v>
      </c>
      <c r="W16" s="23">
        <f t="shared" ref="W16:Z16" si="15">(K16*1000000)/(Q16*1000)</f>
        <v>121457.61911051668</v>
      </c>
      <c r="X16" s="23">
        <f t="shared" si="15"/>
        <v>95506.727438973729</v>
      </c>
      <c r="Y16" s="23">
        <f t="shared" si="15"/>
        <v>89893.423797662486</v>
      </c>
      <c r="Z16" s="23">
        <f t="shared" si="15"/>
        <v>102086.19637134743</v>
      </c>
      <c r="AA16" s="23">
        <f t="shared" si="2"/>
        <v>124023.58852948419</v>
      </c>
    </row>
    <row r="17" spans="1:27" s="25" customFormat="1" x14ac:dyDescent="0.25">
      <c r="A17" s="26" t="s">
        <v>25</v>
      </c>
      <c r="B17" s="125">
        <f t="shared" si="5"/>
        <v>16</v>
      </c>
      <c r="C17" s="22" t="s">
        <v>15</v>
      </c>
      <c r="D17" s="182">
        <v>694</v>
      </c>
      <c r="E17" s="182">
        <v>3496</v>
      </c>
      <c r="F17" s="182">
        <v>37544</v>
      </c>
      <c r="G17" s="182">
        <v>122702</v>
      </c>
      <c r="H17" s="182">
        <v>195012</v>
      </c>
      <c r="I17" s="182">
        <v>342750</v>
      </c>
      <c r="J17" s="182">
        <v>35384.000000000029</v>
      </c>
      <c r="K17" s="182">
        <v>101148.99999999999</v>
      </c>
      <c r="L17" s="182">
        <v>125770.00000000003</v>
      </c>
      <c r="M17" s="182">
        <v>161552.99999999994</v>
      </c>
      <c r="N17" s="182">
        <v>195012</v>
      </c>
      <c r="O17" s="182">
        <v>224652.99999999991</v>
      </c>
      <c r="P17" s="182">
        <v>751.37803188612111</v>
      </c>
      <c r="Q17" s="182">
        <v>1121.5902672062678</v>
      </c>
      <c r="R17" s="182">
        <v>1973.4221135352877</v>
      </c>
      <c r="S17" s="182">
        <v>2772.6556907659265</v>
      </c>
      <c r="T17" s="182">
        <v>3179.9999999999995</v>
      </c>
      <c r="U17" s="182">
        <v>2927</v>
      </c>
      <c r="V17" s="23">
        <f t="shared" ref="V17:AA19" si="16">(J17*1000000)/(P17*1000)</f>
        <v>47092.140704697675</v>
      </c>
      <c r="W17" s="23">
        <f t="shared" si="16"/>
        <v>90183.557184343896</v>
      </c>
      <c r="X17" s="23">
        <f t="shared" si="16"/>
        <v>63731.929999856606</v>
      </c>
      <c r="Y17" s="23">
        <f t="shared" si="16"/>
        <v>58266.520627872138</v>
      </c>
      <c r="Z17" s="23">
        <f t="shared" si="16"/>
        <v>61324.528301886799</v>
      </c>
      <c r="AA17" s="23">
        <f t="shared" si="16"/>
        <v>76751.964468739287</v>
      </c>
    </row>
    <row r="18" spans="1:27" s="25" customFormat="1" x14ac:dyDescent="0.25">
      <c r="A18" s="26" t="s">
        <v>26</v>
      </c>
      <c r="B18" s="125">
        <f t="shared" si="5"/>
        <v>17</v>
      </c>
      <c r="C18" s="22" t="s">
        <v>15</v>
      </c>
      <c r="D18" s="182">
        <v>495</v>
      </c>
      <c r="E18" s="182">
        <v>2345</v>
      </c>
      <c r="F18" s="182">
        <v>21575</v>
      </c>
      <c r="G18" s="182">
        <v>80873</v>
      </c>
      <c r="H18" s="182">
        <v>139472</v>
      </c>
      <c r="I18" s="182">
        <v>203673</v>
      </c>
      <c r="J18" s="182">
        <v>17683.000000000004</v>
      </c>
      <c r="K18" s="182">
        <v>43571.999999999993</v>
      </c>
      <c r="L18" s="182">
        <v>63494.999999999993</v>
      </c>
      <c r="M18" s="182">
        <v>102833</v>
      </c>
      <c r="N18" s="182">
        <v>139472</v>
      </c>
      <c r="O18" s="182">
        <v>167283</v>
      </c>
      <c r="P18" s="182">
        <v>204.98099999999999</v>
      </c>
      <c r="Q18" s="182">
        <v>357.09242773572407</v>
      </c>
      <c r="R18" s="182">
        <v>565.15814716773843</v>
      </c>
      <c r="S18" s="182">
        <v>714.49681528662427</v>
      </c>
      <c r="T18" s="182">
        <v>705</v>
      </c>
      <c r="U18" s="182">
        <v>774</v>
      </c>
      <c r="V18" s="23">
        <f t="shared" si="16"/>
        <v>86266.532020040904</v>
      </c>
      <c r="W18" s="23">
        <f t="shared" si="16"/>
        <v>122018.8293442241</v>
      </c>
      <c r="X18" s="23">
        <f t="shared" si="16"/>
        <v>112349.08373559151</v>
      </c>
      <c r="Y18" s="23">
        <f t="shared" si="16"/>
        <v>143923.66459848807</v>
      </c>
      <c r="Z18" s="23">
        <f t="shared" si="16"/>
        <v>197832.62411347518</v>
      </c>
      <c r="AA18" s="23">
        <f t="shared" si="16"/>
        <v>216127.90697674418</v>
      </c>
    </row>
    <row r="19" spans="1:27" s="10" customFormat="1" x14ac:dyDescent="0.25">
      <c r="A19" s="76" t="s">
        <v>27</v>
      </c>
      <c r="B19" s="125">
        <f t="shared" si="5"/>
        <v>18</v>
      </c>
      <c r="C19" s="27" t="s">
        <v>18</v>
      </c>
      <c r="D19" s="28">
        <f>+D18+D17</f>
        <v>1189</v>
      </c>
      <c r="E19" s="28">
        <f t="shared" ref="E19:I19" si="17">+E18+E17</f>
        <v>5841</v>
      </c>
      <c r="F19" s="28">
        <f t="shared" si="17"/>
        <v>59119</v>
      </c>
      <c r="G19" s="28">
        <f t="shared" si="17"/>
        <v>203575</v>
      </c>
      <c r="H19" s="28">
        <f t="shared" si="17"/>
        <v>334484</v>
      </c>
      <c r="I19" s="28">
        <f t="shared" si="17"/>
        <v>546423</v>
      </c>
      <c r="J19" s="28">
        <f>+J18+J17</f>
        <v>53067.000000000029</v>
      </c>
      <c r="K19" s="28">
        <f t="shared" ref="K19:O19" si="18">+K18+K17</f>
        <v>144720.99999999997</v>
      </c>
      <c r="L19" s="28">
        <f t="shared" si="18"/>
        <v>189265.00000000003</v>
      </c>
      <c r="M19" s="28">
        <f t="shared" si="18"/>
        <v>264385.99999999994</v>
      </c>
      <c r="N19" s="28">
        <f t="shared" si="18"/>
        <v>334484</v>
      </c>
      <c r="O19" s="28">
        <f t="shared" si="18"/>
        <v>391935.99999999988</v>
      </c>
      <c r="P19" s="28">
        <f>+P18+P17</f>
        <v>956.3590318861211</v>
      </c>
      <c r="Q19" s="28">
        <f t="shared" ref="Q19:U19" si="19">+Q18+Q17</f>
        <v>1478.6826949419919</v>
      </c>
      <c r="R19" s="28">
        <f t="shared" si="19"/>
        <v>2538.5802607030264</v>
      </c>
      <c r="S19" s="28">
        <f t="shared" si="19"/>
        <v>3487.152506052551</v>
      </c>
      <c r="T19" s="28">
        <f t="shared" si="19"/>
        <v>3884.9999999999995</v>
      </c>
      <c r="U19" s="28">
        <f t="shared" si="19"/>
        <v>3701</v>
      </c>
      <c r="V19" s="23">
        <f t="shared" si="16"/>
        <v>55488.575138294931</v>
      </c>
      <c r="W19" s="23">
        <f t="shared" si="16"/>
        <v>97871.572106061139</v>
      </c>
      <c r="X19" s="23">
        <f t="shared" si="16"/>
        <v>74555.452482556371</v>
      </c>
      <c r="Y19" s="23">
        <f t="shared" si="16"/>
        <v>75817.160144591529</v>
      </c>
      <c r="Z19" s="23">
        <f t="shared" si="16"/>
        <v>86096.267696267707</v>
      </c>
      <c r="AA19" s="23">
        <f t="shared" si="16"/>
        <v>105900.02701972437</v>
      </c>
    </row>
    <row r="20" spans="1:27" s="25" customFormat="1" x14ac:dyDescent="0.25">
      <c r="A20" s="29" t="s">
        <v>28</v>
      </c>
      <c r="B20" s="125">
        <f t="shared" si="5"/>
        <v>19</v>
      </c>
      <c r="C20" s="22" t="s">
        <v>15</v>
      </c>
      <c r="D20" s="182">
        <v>527</v>
      </c>
      <c r="E20" s="182">
        <v>3235</v>
      </c>
      <c r="F20" s="182">
        <v>36039</v>
      </c>
      <c r="G20" s="182">
        <v>156252</v>
      </c>
      <c r="H20" s="182">
        <v>295504</v>
      </c>
      <c r="I20" s="182">
        <v>522048</v>
      </c>
      <c r="J20" s="182">
        <v>48537.000000000058</v>
      </c>
      <c r="K20" s="182">
        <v>104161.00000000016</v>
      </c>
      <c r="L20" s="182">
        <v>158894.00000000015</v>
      </c>
      <c r="M20" s="182">
        <v>216747.00000000012</v>
      </c>
      <c r="N20" s="182">
        <v>295504</v>
      </c>
      <c r="O20" s="182">
        <v>386745.00000000012</v>
      </c>
      <c r="P20" s="182">
        <v>119.224</v>
      </c>
      <c r="Q20" s="182">
        <v>215.95409131670971</v>
      </c>
      <c r="R20" s="182">
        <v>545.76615643363277</v>
      </c>
      <c r="S20" s="182">
        <v>1012.3693998309386</v>
      </c>
      <c r="T20" s="182">
        <v>1338</v>
      </c>
      <c r="U20" s="182">
        <v>1656</v>
      </c>
      <c r="V20" s="30" t="s">
        <v>29</v>
      </c>
      <c r="W20" s="30" t="s">
        <v>29</v>
      </c>
      <c r="X20" s="30" t="s">
        <v>29</v>
      </c>
      <c r="Y20" s="30" t="s">
        <v>29</v>
      </c>
      <c r="Z20" s="30" t="s">
        <v>29</v>
      </c>
      <c r="AA20" s="30" t="s">
        <v>29</v>
      </c>
    </row>
    <row r="21" spans="1:27" s="25" customFormat="1" x14ac:dyDescent="0.25">
      <c r="A21" s="29" t="s">
        <v>30</v>
      </c>
      <c r="B21" s="125">
        <f t="shared" si="5"/>
        <v>20</v>
      </c>
      <c r="C21" s="22" t="s">
        <v>15</v>
      </c>
      <c r="D21" s="182">
        <v>266.90439276485785</v>
      </c>
      <c r="E21" s="182">
        <v>1337.2028202732604</v>
      </c>
      <c r="F21" s="182">
        <v>12153.283134231493</v>
      </c>
      <c r="G21" s="182">
        <v>55260.678073723953</v>
      </c>
      <c r="H21" s="182">
        <v>96791.796352452438</v>
      </c>
      <c r="I21" s="182">
        <v>154269.89328824572</v>
      </c>
      <c r="J21" s="182">
        <v>24582.046511627934</v>
      </c>
      <c r="K21" s="182">
        <v>43055.450683920644</v>
      </c>
      <c r="L21" s="182">
        <v>53583.167411154041</v>
      </c>
      <c r="M21" s="182">
        <v>76655.570427549421</v>
      </c>
      <c r="N21" s="182">
        <v>96791.796352452438</v>
      </c>
      <c r="O21" s="182">
        <v>114286.63624755311</v>
      </c>
      <c r="P21" s="190"/>
      <c r="Q21" s="190"/>
      <c r="R21" s="190"/>
      <c r="S21" s="190"/>
      <c r="T21" s="190"/>
      <c r="U21" s="190"/>
      <c r="V21" s="30" t="s">
        <v>29</v>
      </c>
      <c r="W21" s="30" t="s">
        <v>29</v>
      </c>
      <c r="X21" s="30" t="s">
        <v>29</v>
      </c>
      <c r="Y21" s="30" t="s">
        <v>29</v>
      </c>
      <c r="Z21" s="30" t="s">
        <v>29</v>
      </c>
      <c r="AA21" s="30" t="s">
        <v>29</v>
      </c>
    </row>
    <row r="22" spans="1:27" s="10" customFormat="1" x14ac:dyDescent="0.25">
      <c r="A22" s="77" t="s">
        <v>31</v>
      </c>
      <c r="B22" s="125">
        <f t="shared" si="5"/>
        <v>21</v>
      </c>
      <c r="C22" s="27" t="s">
        <v>18</v>
      </c>
      <c r="D22" s="28">
        <f t="shared" ref="D22:U22" si="20">+D20-D21</f>
        <v>260.09560723514215</v>
      </c>
      <c r="E22" s="28">
        <f t="shared" si="20"/>
        <v>1897.7971797267396</v>
      </c>
      <c r="F22" s="28">
        <f t="shared" si="20"/>
        <v>23885.716865768507</v>
      </c>
      <c r="G22" s="28">
        <f t="shared" si="20"/>
        <v>100991.32192627605</v>
      </c>
      <c r="H22" s="28">
        <f t="shared" si="20"/>
        <v>198712.20364754758</v>
      </c>
      <c r="I22" s="28">
        <f t="shared" si="20"/>
        <v>367778.10671175428</v>
      </c>
      <c r="J22" s="28">
        <f t="shared" si="20"/>
        <v>23954.953488372124</v>
      </c>
      <c r="K22" s="28">
        <f t="shared" si="20"/>
        <v>61105.549316079516</v>
      </c>
      <c r="L22" s="28">
        <f t="shared" si="20"/>
        <v>105310.8325888461</v>
      </c>
      <c r="M22" s="28">
        <f t="shared" si="20"/>
        <v>140091.4295724507</v>
      </c>
      <c r="N22" s="28">
        <f t="shared" si="20"/>
        <v>198712.20364754758</v>
      </c>
      <c r="O22" s="28">
        <f t="shared" si="20"/>
        <v>272458.36375244701</v>
      </c>
      <c r="P22" s="28">
        <f t="shared" si="20"/>
        <v>119.224</v>
      </c>
      <c r="Q22" s="28">
        <f t="shared" si="20"/>
        <v>215.95409131670971</v>
      </c>
      <c r="R22" s="28">
        <f t="shared" si="20"/>
        <v>545.76615643363277</v>
      </c>
      <c r="S22" s="28">
        <f t="shared" si="20"/>
        <v>1012.3693998309386</v>
      </c>
      <c r="T22" s="28">
        <f t="shared" si="20"/>
        <v>1338</v>
      </c>
      <c r="U22" s="28">
        <f t="shared" si="20"/>
        <v>1656</v>
      </c>
      <c r="V22" s="23">
        <f>(J22*1000000)/(P22*1000)</f>
        <v>200923.92042182887</v>
      </c>
      <c r="W22" s="23">
        <f t="shared" ref="W22:AA22" si="21">(K22*1000000)/(Q22*1000)</f>
        <v>282956.20121623226</v>
      </c>
      <c r="X22" s="23">
        <f t="shared" si="21"/>
        <v>192959.62446079648</v>
      </c>
      <c r="Y22" s="23">
        <f t="shared" si="21"/>
        <v>138379.75505368432</v>
      </c>
      <c r="Z22" s="23">
        <f t="shared" si="21"/>
        <v>148514.35250190401</v>
      </c>
      <c r="AA22" s="23">
        <f t="shared" si="21"/>
        <v>164527.99743505256</v>
      </c>
    </row>
    <row r="23" spans="1:27" s="10" customFormat="1" x14ac:dyDescent="0.25">
      <c r="A23" s="76" t="s">
        <v>32</v>
      </c>
      <c r="B23" s="125">
        <f t="shared" si="5"/>
        <v>22</v>
      </c>
      <c r="C23" s="27" t="s">
        <v>18</v>
      </c>
      <c r="D23" s="28">
        <f t="shared" ref="D23:U23" si="22">+D24+D26</f>
        <v>824</v>
      </c>
      <c r="E23" s="28">
        <f t="shared" si="22"/>
        <v>4179</v>
      </c>
      <c r="F23" s="28">
        <f t="shared" si="22"/>
        <v>50293</v>
      </c>
      <c r="G23" s="28">
        <f t="shared" si="22"/>
        <v>184540</v>
      </c>
      <c r="H23" s="28">
        <f t="shared" si="22"/>
        <v>297016</v>
      </c>
      <c r="I23" s="28">
        <f t="shared" si="22"/>
        <v>551584</v>
      </c>
      <c r="J23" s="28">
        <f t="shared" si="22"/>
        <v>76915.199362179701</v>
      </c>
      <c r="K23" s="28">
        <f t="shared" si="22"/>
        <v>140510.31170217524</v>
      </c>
      <c r="L23" s="28">
        <f t="shared" si="22"/>
        <v>229838.13315752603</v>
      </c>
      <c r="M23" s="28">
        <f t="shared" si="22"/>
        <v>264654.99319516949</v>
      </c>
      <c r="N23" s="28">
        <f t="shared" si="22"/>
        <v>297016</v>
      </c>
      <c r="O23" s="28">
        <f t="shared" si="22"/>
        <v>348863.62002278893</v>
      </c>
      <c r="P23" s="28">
        <f t="shared" si="22"/>
        <v>909.02796811387918</v>
      </c>
      <c r="Q23" s="28">
        <f t="shared" si="22"/>
        <v>1398.0689872517958</v>
      </c>
      <c r="R23" s="28">
        <f t="shared" si="22"/>
        <v>2339.3085735770555</v>
      </c>
      <c r="S23" s="28">
        <f t="shared" si="22"/>
        <v>3343.9194856024601</v>
      </c>
      <c r="T23" s="28">
        <f t="shared" si="22"/>
        <v>3573</v>
      </c>
      <c r="U23" s="28">
        <f t="shared" si="22"/>
        <v>3871</v>
      </c>
      <c r="V23" s="23">
        <f>(J23*1000000)/(P23*1000)</f>
        <v>84612.57745652122</v>
      </c>
      <c r="W23" s="23">
        <f t="shared" ref="W23:Z23" si="23">(K23*1000000)/(Q23*1000)</f>
        <v>100503.13180780754</v>
      </c>
      <c r="X23" s="23">
        <f t="shared" si="23"/>
        <v>98250.455606238669</v>
      </c>
      <c r="Y23" s="23">
        <f t="shared" si="23"/>
        <v>79145.145191044488</v>
      </c>
      <c r="Z23" s="23">
        <f t="shared" si="23"/>
        <v>83127.903722362156</v>
      </c>
      <c r="AA23" s="23">
        <f>(O23*1000000)/(U23*1000)</f>
        <v>90122.350819630316</v>
      </c>
    </row>
    <row r="24" spans="1:27" s="10" customFormat="1" x14ac:dyDescent="0.25">
      <c r="A24" s="76" t="s">
        <v>33</v>
      </c>
      <c r="B24" s="125">
        <f t="shared" si="5"/>
        <v>23</v>
      </c>
      <c r="C24" s="22" t="s">
        <v>15</v>
      </c>
      <c r="D24" s="182">
        <v>446</v>
      </c>
      <c r="E24" s="182">
        <v>2713</v>
      </c>
      <c r="F24" s="182">
        <v>37684</v>
      </c>
      <c r="G24" s="182">
        <v>133158</v>
      </c>
      <c r="H24" s="182">
        <v>208561</v>
      </c>
      <c r="I24" s="182">
        <v>385307</v>
      </c>
      <c r="J24" s="182">
        <v>57897.999999999949</v>
      </c>
      <c r="K24" s="182">
        <v>112316.99999999994</v>
      </c>
      <c r="L24" s="182">
        <v>180919</v>
      </c>
      <c r="M24" s="182">
        <v>191340</v>
      </c>
      <c r="N24" s="182">
        <v>208561</v>
      </c>
      <c r="O24" s="182">
        <v>248817.00000000009</v>
      </c>
      <c r="P24" s="182">
        <v>322.9366515207048</v>
      </c>
      <c r="Q24" s="182">
        <v>589.79361835416682</v>
      </c>
      <c r="R24" s="182">
        <v>1195.3410097224478</v>
      </c>
      <c r="S24" s="182">
        <v>1953.9867849653815</v>
      </c>
      <c r="T24" s="182">
        <v>2087.8477525374578</v>
      </c>
      <c r="U24" s="182">
        <v>2261.9811503141614</v>
      </c>
      <c r="V24" s="23">
        <f>(J24*1000000)/(P24*1000)</f>
        <v>179285.93650599572</v>
      </c>
      <c r="W24" s="23">
        <f t="shared" ref="W24:Z24" si="24">(K24*1000000)/(Q24*1000)</f>
        <v>190434.41045263121</v>
      </c>
      <c r="X24" s="23">
        <f t="shared" si="24"/>
        <v>151353.46192297753</v>
      </c>
      <c r="Y24" s="23">
        <f t="shared" si="24"/>
        <v>97922.873108576285</v>
      </c>
      <c r="Z24" s="23">
        <f t="shared" si="24"/>
        <v>99892.820128539635</v>
      </c>
      <c r="AA24" s="23">
        <f>(O24*1000000)/(U24*1000)</f>
        <v>109999.59038802885</v>
      </c>
    </row>
    <row r="25" spans="1:27" s="31" customFormat="1" x14ac:dyDescent="0.25">
      <c r="A25" s="26" t="s">
        <v>34</v>
      </c>
      <c r="B25" s="125">
        <f t="shared" si="5"/>
        <v>24</v>
      </c>
      <c r="C25" s="22" t="s">
        <v>15</v>
      </c>
      <c r="D25" s="182">
        <v>378</v>
      </c>
      <c r="E25" s="182">
        <v>1466</v>
      </c>
      <c r="F25" s="182">
        <v>12609</v>
      </c>
      <c r="G25" s="182">
        <v>51382</v>
      </c>
      <c r="H25" s="182">
        <v>88455</v>
      </c>
      <c r="I25" s="182">
        <v>166277</v>
      </c>
      <c r="J25" s="182">
        <v>19017.199362179752</v>
      </c>
      <c r="K25" s="182">
        <v>28193.311702175313</v>
      </c>
      <c r="L25" s="182">
        <v>48919.133157526012</v>
      </c>
      <c r="M25" s="182">
        <v>73314.99319516946</v>
      </c>
      <c r="N25" s="182">
        <v>88455</v>
      </c>
      <c r="O25" s="182">
        <v>100046.62002278886</v>
      </c>
      <c r="P25" s="182">
        <v>586.09131659317438</v>
      </c>
      <c r="Q25" s="182">
        <v>808.27536889762894</v>
      </c>
      <c r="R25" s="182">
        <v>1143.9675638546078</v>
      </c>
      <c r="S25" s="182">
        <v>1389.9327006370786</v>
      </c>
      <c r="T25" s="182">
        <v>1485.1522474625424</v>
      </c>
      <c r="U25" s="182">
        <v>1609.0188496858386</v>
      </c>
      <c r="V25" s="23">
        <f>(J25*1000000)/(P25*1000)</f>
        <v>32447.502332439824</v>
      </c>
      <c r="W25" s="23">
        <f t="shared" ref="W25:Z25" si="25">(K25*1000000)/(Q25*1000)</f>
        <v>34880.825009707922</v>
      </c>
      <c r="X25" s="23">
        <f t="shared" si="25"/>
        <v>42762.692495137366</v>
      </c>
      <c r="Y25" s="23">
        <f t="shared" si="25"/>
        <v>52747.153269770097</v>
      </c>
      <c r="Z25" s="23">
        <f t="shared" si="25"/>
        <v>59559.550309491722</v>
      </c>
      <c r="AA25" s="23">
        <f>(O25*1000000)/(U25*1000)</f>
        <v>62178.650077544458</v>
      </c>
    </row>
    <row r="26" spans="1:27" s="10" customFormat="1" x14ac:dyDescent="0.25">
      <c r="A26" s="76" t="s">
        <v>35</v>
      </c>
      <c r="B26" s="126">
        <f t="shared" si="5"/>
        <v>25</v>
      </c>
      <c r="C26" s="27" t="s">
        <v>18</v>
      </c>
      <c r="D26" s="28">
        <f>+D25</f>
        <v>378</v>
      </c>
      <c r="E26" s="28">
        <f t="shared" ref="E26:I26" si="26">+E25</f>
        <v>1466</v>
      </c>
      <c r="F26" s="28">
        <f t="shared" si="26"/>
        <v>12609</v>
      </c>
      <c r="G26" s="28">
        <f t="shared" si="26"/>
        <v>51382</v>
      </c>
      <c r="H26" s="28">
        <f t="shared" si="26"/>
        <v>88455</v>
      </c>
      <c r="I26" s="28">
        <f t="shared" si="26"/>
        <v>166277</v>
      </c>
      <c r="J26" s="28">
        <f>+J25</f>
        <v>19017.199362179752</v>
      </c>
      <c r="K26" s="28">
        <f t="shared" ref="K26:O26" si="27">+K25</f>
        <v>28193.311702175313</v>
      </c>
      <c r="L26" s="28">
        <f t="shared" si="27"/>
        <v>48919.133157526012</v>
      </c>
      <c r="M26" s="28">
        <f t="shared" si="27"/>
        <v>73314.99319516946</v>
      </c>
      <c r="N26" s="28">
        <f t="shared" si="27"/>
        <v>88455</v>
      </c>
      <c r="O26" s="28">
        <f t="shared" si="27"/>
        <v>100046.62002278886</v>
      </c>
      <c r="P26" s="28">
        <f>+P25</f>
        <v>586.09131659317438</v>
      </c>
      <c r="Q26" s="28">
        <f t="shared" ref="Q26:U26" si="28">+Q25</f>
        <v>808.27536889762894</v>
      </c>
      <c r="R26" s="28">
        <f t="shared" si="28"/>
        <v>1143.9675638546078</v>
      </c>
      <c r="S26" s="28">
        <f t="shared" si="28"/>
        <v>1389.9327006370786</v>
      </c>
      <c r="T26" s="28">
        <f t="shared" si="28"/>
        <v>1485.1522474625424</v>
      </c>
      <c r="U26" s="28">
        <f t="shared" si="28"/>
        <v>1609.0188496858386</v>
      </c>
      <c r="V26" s="23">
        <f>+V25</f>
        <v>32447.502332439824</v>
      </c>
      <c r="W26" s="23">
        <f t="shared" ref="W26:AA26" si="29">+W25</f>
        <v>34880.825009707922</v>
      </c>
      <c r="X26" s="23">
        <f t="shared" si="29"/>
        <v>42762.692495137366</v>
      </c>
      <c r="Y26" s="23">
        <f t="shared" si="29"/>
        <v>52747.153269770097</v>
      </c>
      <c r="Z26" s="23">
        <f t="shared" si="29"/>
        <v>59559.550309491722</v>
      </c>
      <c r="AA26" s="23">
        <f t="shared" si="29"/>
        <v>62178.650077544458</v>
      </c>
    </row>
    <row r="27" spans="1:27" s="10" customFormat="1" x14ac:dyDescent="0.25">
      <c r="A27" s="78" t="s">
        <v>36</v>
      </c>
      <c r="B27" s="65">
        <f t="shared" si="5"/>
        <v>26</v>
      </c>
      <c r="C27" s="19" t="s">
        <v>18</v>
      </c>
      <c r="D27" s="20">
        <f t="shared" ref="D27:U27" si="30">+D28-D21</f>
        <v>4720.0956072351419</v>
      </c>
      <c r="E27" s="20">
        <f t="shared" si="30"/>
        <v>24570.797179726738</v>
      </c>
      <c r="F27" s="20">
        <f t="shared" si="30"/>
        <v>250997.71686576851</v>
      </c>
      <c r="G27" s="20">
        <f t="shared" si="30"/>
        <v>782957.32192627608</v>
      </c>
      <c r="H27" s="20">
        <f t="shared" si="30"/>
        <v>1304275.2036475476</v>
      </c>
      <c r="I27" s="20">
        <f t="shared" si="30"/>
        <v>2258220.1067117541</v>
      </c>
      <c r="J27" s="20">
        <f t="shared" si="30"/>
        <v>310363.15285055188</v>
      </c>
      <c r="K27" s="20">
        <f t="shared" si="30"/>
        <v>648445.86101825477</v>
      </c>
      <c r="L27" s="20">
        <f t="shared" si="30"/>
        <v>905733.96574637212</v>
      </c>
      <c r="M27" s="20">
        <f t="shared" si="30"/>
        <v>1080677.4227676201</v>
      </c>
      <c r="N27" s="20">
        <f t="shared" si="30"/>
        <v>1304275.2036475476</v>
      </c>
      <c r="O27" s="20">
        <f t="shared" si="30"/>
        <v>1528464.9837752359</v>
      </c>
      <c r="P27" s="20">
        <f t="shared" si="30"/>
        <v>6922.2350000000006</v>
      </c>
      <c r="Q27" s="20">
        <f t="shared" si="30"/>
        <v>7934.3614466040717</v>
      </c>
      <c r="R27" s="20">
        <f t="shared" si="30"/>
        <v>11210.461478520359</v>
      </c>
      <c r="S27" s="20">
        <f t="shared" si="30"/>
        <v>13371.611613403846</v>
      </c>
      <c r="T27" s="20">
        <f t="shared" si="30"/>
        <v>14035.284987277355</v>
      </c>
      <c r="U27" s="20">
        <f t="shared" si="30"/>
        <v>14618.75</v>
      </c>
      <c r="V27" s="18">
        <f>(J27*1000000)/(P27*1000)</f>
        <v>44835.685707080418</v>
      </c>
      <c r="W27" s="18">
        <f t="shared" ref="W27:AA27" si="31">(K27*1000000)/(Q27*1000)</f>
        <v>81726.281992836521</v>
      </c>
      <c r="X27" s="18">
        <f t="shared" si="31"/>
        <v>80793.637932014695</v>
      </c>
      <c r="Y27" s="18">
        <f t="shared" si="31"/>
        <v>80818.7863970217</v>
      </c>
      <c r="Z27" s="18">
        <f t="shared" si="31"/>
        <v>92928.302120679509</v>
      </c>
      <c r="AA27" s="18">
        <f t="shared" si="31"/>
        <v>104555.10791108925</v>
      </c>
    </row>
    <row r="28" spans="1:27" s="9" customFormat="1" x14ac:dyDescent="0.25">
      <c r="A28" s="32" t="s">
        <v>37</v>
      </c>
      <c r="B28" s="21"/>
      <c r="C28" s="33" t="s">
        <v>15</v>
      </c>
      <c r="D28" s="183">
        <v>4987</v>
      </c>
      <c r="E28" s="183">
        <v>25908</v>
      </c>
      <c r="F28" s="183">
        <v>263151</v>
      </c>
      <c r="G28" s="183">
        <v>838218</v>
      </c>
      <c r="H28" s="183">
        <v>1401067</v>
      </c>
      <c r="I28" s="183">
        <v>2412490</v>
      </c>
      <c r="J28" s="183">
        <v>334945.19936217979</v>
      </c>
      <c r="K28" s="183">
        <v>691501.31170217542</v>
      </c>
      <c r="L28" s="183">
        <v>959317.13315752614</v>
      </c>
      <c r="M28" s="183">
        <v>1157332.9931951696</v>
      </c>
      <c r="N28" s="183">
        <v>1401067</v>
      </c>
      <c r="O28" s="183">
        <v>1642751.6200227891</v>
      </c>
      <c r="P28" s="183">
        <v>6922.2350000000006</v>
      </c>
      <c r="Q28" s="183">
        <v>7934.3614466040717</v>
      </c>
      <c r="R28" s="183">
        <v>11210.461478520359</v>
      </c>
      <c r="S28" s="183">
        <v>13371.611613403846</v>
      </c>
      <c r="T28" s="183">
        <v>14035.284987277355</v>
      </c>
      <c r="U28" s="183">
        <v>14618.75</v>
      </c>
      <c r="V28" s="35">
        <f>(J28*1000000)/(P28*1000)</f>
        <v>48386.857620722178</v>
      </c>
      <c r="W28" s="35">
        <f t="shared" ref="W28:Z28" si="32">(K28*1000000)/(Q28*1000)</f>
        <v>87152.736405541466</v>
      </c>
      <c r="X28" s="35">
        <f t="shared" si="32"/>
        <v>85573.384734929205</v>
      </c>
      <c r="Y28" s="35">
        <f t="shared" si="32"/>
        <v>86551.496308421556</v>
      </c>
      <c r="Z28" s="35">
        <f t="shared" si="32"/>
        <v>99824.620680665423</v>
      </c>
      <c r="AA28" s="35">
        <f>(O28*1000000)/(U28*1000)</f>
        <v>112372.91971083636</v>
      </c>
    </row>
    <row r="29" spans="1:27" s="36" customFormat="1" x14ac:dyDescent="0.25">
      <c r="A29" s="36" t="s">
        <v>38</v>
      </c>
      <c r="B29" s="37"/>
      <c r="C29" s="38"/>
      <c r="D29" s="39">
        <f t="shared" ref="D29:U29" si="33">+D8+D9+D15</f>
        <v>4720.0956072351419</v>
      </c>
      <c r="E29" s="39">
        <f t="shared" si="33"/>
        <v>24570.797179726738</v>
      </c>
      <c r="F29" s="39">
        <f t="shared" si="33"/>
        <v>250997.71686576851</v>
      </c>
      <c r="G29" s="39">
        <f t="shared" si="33"/>
        <v>782957.32192627608</v>
      </c>
      <c r="H29" s="39">
        <f t="shared" si="33"/>
        <v>1304275.2036475476</v>
      </c>
      <c r="I29" s="39">
        <f t="shared" si="33"/>
        <v>2258220.1067117546</v>
      </c>
      <c r="J29" s="39">
        <f t="shared" si="33"/>
        <v>310363.15285055188</v>
      </c>
      <c r="K29" s="39">
        <f t="shared" si="33"/>
        <v>648445.86101825465</v>
      </c>
      <c r="L29" s="39">
        <f t="shared" si="33"/>
        <v>905733.96574637212</v>
      </c>
      <c r="M29" s="39">
        <f t="shared" si="33"/>
        <v>1080677.4227676201</v>
      </c>
      <c r="N29" s="39">
        <f t="shared" si="33"/>
        <v>1304275.2036475476</v>
      </c>
      <c r="O29" s="39">
        <f t="shared" si="33"/>
        <v>1528464.9837752357</v>
      </c>
      <c r="P29" s="39">
        <f t="shared" si="33"/>
        <v>6922.2350000000006</v>
      </c>
      <c r="Q29" s="39">
        <f t="shared" si="33"/>
        <v>7934.3614466040717</v>
      </c>
      <c r="R29" s="39">
        <f t="shared" si="33"/>
        <v>11210.461478520361</v>
      </c>
      <c r="S29" s="39">
        <f t="shared" si="33"/>
        <v>13371.611613403846</v>
      </c>
      <c r="T29" s="39">
        <f t="shared" si="33"/>
        <v>14035.284987277355</v>
      </c>
      <c r="U29" s="39">
        <f t="shared" si="33"/>
        <v>14618.75</v>
      </c>
      <c r="V29" s="40"/>
      <c r="W29" s="40"/>
      <c r="X29" s="40"/>
      <c r="Y29" s="40"/>
      <c r="Z29" s="40"/>
      <c r="AA29" s="40"/>
    </row>
    <row r="30" spans="1:27" s="36" customFormat="1" x14ac:dyDescent="0.25">
      <c r="A30" s="86" t="s">
        <v>72</v>
      </c>
      <c r="B30" s="37"/>
      <c r="C30" s="38"/>
      <c r="D30" s="43" t="b">
        <f t="shared" ref="D30:U30" si="34">EXACT(D29,D27)</f>
        <v>1</v>
      </c>
      <c r="E30" s="43" t="b">
        <f t="shared" si="34"/>
        <v>1</v>
      </c>
      <c r="F30" s="43" t="b">
        <f t="shared" si="34"/>
        <v>1</v>
      </c>
      <c r="G30" s="43" t="b">
        <f t="shared" si="34"/>
        <v>1</v>
      </c>
      <c r="H30" s="43" t="b">
        <f t="shared" si="34"/>
        <v>1</v>
      </c>
      <c r="I30" s="43" t="b">
        <f t="shared" si="34"/>
        <v>1</v>
      </c>
      <c r="J30" s="43" t="b">
        <f t="shared" si="34"/>
        <v>1</v>
      </c>
      <c r="K30" s="43" t="b">
        <f t="shared" si="34"/>
        <v>1</v>
      </c>
      <c r="L30" s="43" t="b">
        <f t="shared" si="34"/>
        <v>1</v>
      </c>
      <c r="M30" s="43" t="b">
        <f t="shared" si="34"/>
        <v>1</v>
      </c>
      <c r="N30" s="43" t="b">
        <f t="shared" si="34"/>
        <v>1</v>
      </c>
      <c r="O30" s="43" t="b">
        <f t="shared" si="34"/>
        <v>1</v>
      </c>
      <c r="P30" s="43" t="b">
        <f t="shared" si="34"/>
        <v>1</v>
      </c>
      <c r="Q30" s="43" t="b">
        <f t="shared" si="34"/>
        <v>1</v>
      </c>
      <c r="R30" s="43" t="b">
        <f t="shared" si="34"/>
        <v>1</v>
      </c>
      <c r="S30" s="43" t="b">
        <f t="shared" si="34"/>
        <v>1</v>
      </c>
      <c r="T30" s="43" t="b">
        <f t="shared" si="34"/>
        <v>1</v>
      </c>
      <c r="U30" s="43" t="b">
        <f t="shared" si="34"/>
        <v>1</v>
      </c>
      <c r="V30" s="40"/>
      <c r="W30" s="40"/>
      <c r="X30" s="40"/>
      <c r="Y30" s="40"/>
      <c r="Z30" s="40"/>
      <c r="AA30" s="40"/>
    </row>
    <row r="31" spans="1:27" s="36" customFormat="1" x14ac:dyDescent="0.25">
      <c r="A31" s="86" t="s">
        <v>72</v>
      </c>
      <c r="B31" s="37"/>
      <c r="C31" s="38"/>
      <c r="D31" s="43"/>
      <c r="E31" s="43"/>
      <c r="F31" s="43"/>
      <c r="G31" s="43"/>
      <c r="H31" s="43"/>
      <c r="I31" s="43"/>
      <c r="J31" s="43"/>
      <c r="K31" s="43"/>
      <c r="L31" s="43"/>
      <c r="M31" s="43"/>
      <c r="N31" s="43"/>
      <c r="O31" s="43"/>
      <c r="P31" s="43"/>
      <c r="Q31" s="43"/>
      <c r="R31" s="43"/>
      <c r="S31" s="43"/>
      <c r="T31" s="43"/>
      <c r="U31" s="43"/>
      <c r="V31" s="40"/>
      <c r="W31" s="40"/>
      <c r="X31" s="40"/>
      <c r="Y31" s="40"/>
      <c r="Z31" s="40"/>
      <c r="AA31" s="40"/>
    </row>
    <row r="32" spans="1:27" s="36" customFormat="1" ht="35.4" customHeight="1" x14ac:dyDescent="0.25">
      <c r="A32" s="7" t="s">
        <v>73</v>
      </c>
      <c r="B32" s="65" t="s">
        <v>41</v>
      </c>
      <c r="C32" s="164" t="s">
        <v>16</v>
      </c>
      <c r="D32" s="254" t="s">
        <v>74</v>
      </c>
      <c r="E32" s="255"/>
      <c r="F32" s="255"/>
      <c r="G32" s="255"/>
      <c r="H32" s="255"/>
      <c r="I32" s="256"/>
      <c r="J32" s="245" t="s">
        <v>75</v>
      </c>
      <c r="K32" s="246"/>
      <c r="L32" s="246"/>
      <c r="M32" s="246"/>
      <c r="N32" s="246"/>
      <c r="O32" s="247"/>
      <c r="P32" s="248" t="s">
        <v>76</v>
      </c>
      <c r="Q32" s="249"/>
      <c r="R32" s="249"/>
      <c r="S32" s="249"/>
      <c r="T32" s="249"/>
      <c r="U32" s="250"/>
      <c r="V32" s="40"/>
      <c r="W32" s="40"/>
      <c r="X32" s="40"/>
      <c r="Y32" s="40"/>
      <c r="Z32" s="40"/>
      <c r="AA32" s="40"/>
    </row>
    <row r="33" spans="1:27" s="37" customFormat="1" x14ac:dyDescent="0.25">
      <c r="A33" s="184" t="s">
        <v>70</v>
      </c>
      <c r="B33" s="65"/>
      <c r="C33" s="164" t="s">
        <v>16</v>
      </c>
      <c r="D33" s="72" t="s">
        <v>62</v>
      </c>
      <c r="E33" s="72" t="s">
        <v>7</v>
      </c>
      <c r="F33" s="72" t="s">
        <v>8</v>
      </c>
      <c r="G33" s="169">
        <v>2000</v>
      </c>
      <c r="H33" s="169">
        <v>2005</v>
      </c>
      <c r="I33" s="72" t="s">
        <v>9</v>
      </c>
      <c r="J33" s="171" t="s">
        <v>62</v>
      </c>
      <c r="K33" s="171" t="s">
        <v>7</v>
      </c>
      <c r="L33" s="171" t="s">
        <v>8</v>
      </c>
      <c r="M33" s="172">
        <v>2000</v>
      </c>
      <c r="N33" s="172">
        <v>2005</v>
      </c>
      <c r="O33" s="171" t="s">
        <v>9</v>
      </c>
      <c r="P33" s="175" t="s">
        <v>62</v>
      </c>
      <c r="Q33" s="175" t="s">
        <v>7</v>
      </c>
      <c r="R33" s="175" t="s">
        <v>8</v>
      </c>
      <c r="S33" s="176">
        <v>2000</v>
      </c>
      <c r="T33" s="176">
        <v>2005</v>
      </c>
      <c r="U33" s="175" t="s">
        <v>9</v>
      </c>
      <c r="V33" s="185"/>
      <c r="W33" s="185"/>
      <c r="X33" s="185"/>
      <c r="Y33" s="185"/>
      <c r="Z33" s="185"/>
      <c r="AA33" s="185"/>
    </row>
    <row r="34" spans="1:27" s="36" customFormat="1" x14ac:dyDescent="0.25">
      <c r="A34" s="155" t="s">
        <v>14</v>
      </c>
      <c r="B34" s="65">
        <v>7</v>
      </c>
      <c r="C34" s="164" t="s">
        <v>16</v>
      </c>
      <c r="D34" s="119">
        <f t="shared" ref="D34:I45" si="35">(D8/D$27)*100</f>
        <v>11.842980450293075</v>
      </c>
      <c r="E34" s="119">
        <f t="shared" si="35"/>
        <v>8.0786959636694871</v>
      </c>
      <c r="F34" s="119">
        <f t="shared" si="35"/>
        <v>4.8542274217242793</v>
      </c>
      <c r="G34" s="119">
        <f t="shared" si="35"/>
        <v>3.5060659414313271</v>
      </c>
      <c r="H34" s="119">
        <f t="shared" si="35"/>
        <v>2.8676463291950376</v>
      </c>
      <c r="I34" s="119">
        <f t="shared" si="35"/>
        <v>2.5969124898720728</v>
      </c>
      <c r="J34" s="119">
        <f t="shared" ref="J34:J45" si="36">(P8/P$27)*100</f>
        <v>48.755929262730888</v>
      </c>
      <c r="K34" s="119">
        <f t="shared" ref="K34:K45" si="37">(Q8/Q$27)*100</f>
        <v>31.52480144956527</v>
      </c>
      <c r="L34" s="119">
        <f t="shared" ref="L34:L45" si="38">(R8/R$27)*100</f>
        <v>21.500041629265816</v>
      </c>
      <c r="M34" s="119">
        <f t="shared" ref="M34:M45" si="39">(S8/S$27)*100</f>
        <v>18.661606116810511</v>
      </c>
      <c r="N34" s="119">
        <f t="shared" ref="N34:N45" si="40">(T8/T$27)*100</f>
        <v>14.294579619124246</v>
      </c>
      <c r="O34" s="119">
        <f t="shared" ref="O34:O45" si="41">(U8/U$27)*100</f>
        <v>15.026934587430526</v>
      </c>
      <c r="P34" s="119">
        <f>+V8/V$27</f>
        <v>0.10124871481197564</v>
      </c>
      <c r="Q34" s="119">
        <f t="shared" ref="Q34:U37" si="42">+W8/W$27</f>
        <v>0.1082715119566719</v>
      </c>
      <c r="R34" s="119">
        <f t="shared" si="42"/>
        <v>0.16659205201872404</v>
      </c>
      <c r="S34" s="119">
        <f t="shared" si="42"/>
        <v>0.17236423833133088</v>
      </c>
      <c r="T34" s="119">
        <f t="shared" si="42"/>
        <v>0.20061074936114304</v>
      </c>
      <c r="U34" s="119">
        <f t="shared" si="42"/>
        <v>0.18156016966710073</v>
      </c>
      <c r="V34" s="40"/>
      <c r="W34" s="40"/>
      <c r="X34" s="40"/>
      <c r="Y34" s="40"/>
      <c r="Z34" s="40"/>
      <c r="AA34" s="40"/>
    </row>
    <row r="35" spans="1:27" s="36" customFormat="1" x14ac:dyDescent="0.25">
      <c r="A35" s="156" t="s">
        <v>17</v>
      </c>
      <c r="B35" s="65">
        <v>8</v>
      </c>
      <c r="C35" s="164" t="s">
        <v>16</v>
      </c>
      <c r="D35" s="119">
        <f t="shared" si="35"/>
        <v>39.999189785605225</v>
      </c>
      <c r="E35" s="119">
        <f t="shared" si="35"/>
        <v>43.417394730693239</v>
      </c>
      <c r="F35" s="119">
        <f t="shared" si="35"/>
        <v>42.038629401728414</v>
      </c>
      <c r="G35" s="119">
        <f t="shared" si="35"/>
        <v>34.024843058442521</v>
      </c>
      <c r="H35" s="119">
        <f t="shared" si="35"/>
        <v>33.479207361976208</v>
      </c>
      <c r="I35" s="119">
        <f t="shared" si="35"/>
        <v>32.494219576695286</v>
      </c>
      <c r="J35" s="119">
        <f t="shared" si="36"/>
        <v>22.573980802443135</v>
      </c>
      <c r="K35" s="119">
        <f t="shared" si="37"/>
        <v>29.496563731193113</v>
      </c>
      <c r="L35" s="119">
        <f t="shared" si="38"/>
        <v>30.119657514202746</v>
      </c>
      <c r="M35" s="119">
        <f t="shared" si="39"/>
        <v>22.680981312040608</v>
      </c>
      <c r="N35" s="119">
        <f t="shared" si="40"/>
        <v>23.034801237955879</v>
      </c>
      <c r="O35" s="119">
        <f t="shared" si="41"/>
        <v>21.848653270628475</v>
      </c>
      <c r="P35" s="119">
        <f t="shared" ref="P35:P37" si="43">+V9/V$27</f>
        <v>2.0140214734143873</v>
      </c>
      <c r="Q35" s="119">
        <f t="shared" si="42"/>
        <v>1.4637794883005708</v>
      </c>
      <c r="R35" s="119">
        <f t="shared" si="42"/>
        <v>1.2788633609449247</v>
      </c>
      <c r="S35" s="119">
        <f t="shared" si="42"/>
        <v>1.537214715375856</v>
      </c>
      <c r="T35" s="119">
        <f t="shared" si="42"/>
        <v>1.4534185477064343</v>
      </c>
      <c r="U35" s="119">
        <f t="shared" si="42"/>
        <v>1.4178990780096041</v>
      </c>
      <c r="V35" s="40"/>
      <c r="W35" s="40"/>
      <c r="X35" s="40"/>
      <c r="Y35" s="40"/>
      <c r="Z35" s="40"/>
      <c r="AA35" s="40"/>
    </row>
    <row r="36" spans="1:27" s="36" customFormat="1" x14ac:dyDescent="0.25">
      <c r="A36" s="157" t="s">
        <v>19</v>
      </c>
      <c r="B36" s="65">
        <v>9</v>
      </c>
      <c r="C36" s="164" t="s">
        <v>16</v>
      </c>
      <c r="D36" s="119">
        <f t="shared" si="35"/>
        <v>13.092955131093237</v>
      </c>
      <c r="E36" s="119">
        <f t="shared" si="35"/>
        <v>11.676462831117258</v>
      </c>
      <c r="F36" s="119">
        <f t="shared" si="35"/>
        <v>9.6044698338400512</v>
      </c>
      <c r="G36" s="119">
        <f t="shared" si="35"/>
        <v>8.096354453144631</v>
      </c>
      <c r="H36" s="119">
        <f t="shared" si="35"/>
        <v>8.1265057944505745</v>
      </c>
      <c r="I36" s="119">
        <f t="shared" si="35"/>
        <v>10.057345576056811</v>
      </c>
      <c r="J36" s="119">
        <f t="shared" si="36"/>
        <v>8.8822757389773681</v>
      </c>
      <c r="K36" s="119">
        <f t="shared" si="37"/>
        <v>7.3371910706559671</v>
      </c>
      <c r="L36" s="119">
        <f t="shared" si="38"/>
        <v>8.7546230906420863</v>
      </c>
      <c r="M36" s="119">
        <f t="shared" si="39"/>
        <v>3.4837108367800003</v>
      </c>
      <c r="N36" s="119">
        <f t="shared" si="40"/>
        <v>2.4438406509801629</v>
      </c>
      <c r="O36" s="119">
        <f t="shared" si="41"/>
        <v>2.0863616930312099</v>
      </c>
      <c r="P36" s="119">
        <f t="shared" si="43"/>
        <v>2.9826630502838114</v>
      </c>
      <c r="Q36" s="119">
        <f t="shared" si="42"/>
        <v>2.0211354505365913</v>
      </c>
      <c r="R36" s="119">
        <f t="shared" si="42"/>
        <v>1.2856145584281742</v>
      </c>
      <c r="S36" s="119">
        <f t="shared" si="42"/>
        <v>2.632884928042587</v>
      </c>
      <c r="T36" s="119">
        <f t="shared" si="42"/>
        <v>3.325301013873895</v>
      </c>
      <c r="U36" s="119">
        <f t="shared" si="42"/>
        <v>3.1114817628236207</v>
      </c>
      <c r="V36" s="40"/>
      <c r="W36" s="40"/>
      <c r="X36" s="40"/>
      <c r="Y36" s="40"/>
      <c r="Z36" s="40"/>
      <c r="AA36" s="40"/>
    </row>
    <row r="37" spans="1:27" s="36" customFormat="1" x14ac:dyDescent="0.25">
      <c r="A37" s="158" t="s">
        <v>20</v>
      </c>
      <c r="B37" s="65">
        <v>10</v>
      </c>
      <c r="C37" s="164" t="s">
        <v>16</v>
      </c>
      <c r="D37" s="119">
        <f t="shared" si="35"/>
        <v>21.207197550524807</v>
      </c>
      <c r="E37" s="119">
        <f t="shared" si="35"/>
        <v>23.930847489358477</v>
      </c>
      <c r="F37" s="119">
        <f t="shared" si="35"/>
        <v>24.784289186689424</v>
      </c>
      <c r="G37" s="119">
        <f t="shared" si="35"/>
        <v>20.321158707419503</v>
      </c>
      <c r="H37" s="119">
        <f t="shared" si="35"/>
        <v>19.865516056381033</v>
      </c>
      <c r="I37" s="119">
        <f t="shared" si="35"/>
        <v>14.722656972712777</v>
      </c>
      <c r="J37" s="119">
        <f t="shared" si="36"/>
        <v>9.2964194367859498</v>
      </c>
      <c r="K37" s="119">
        <f t="shared" si="37"/>
        <v>14.234054933607965</v>
      </c>
      <c r="L37" s="119">
        <f t="shared" si="38"/>
        <v>14.690487212447884</v>
      </c>
      <c r="M37" s="119">
        <f t="shared" si="39"/>
        <v>13.622738510723734</v>
      </c>
      <c r="N37" s="119">
        <f t="shared" si="40"/>
        <v>13.252313734178141</v>
      </c>
      <c r="O37" s="119">
        <f t="shared" si="41"/>
        <v>11.89568191534844</v>
      </c>
      <c r="P37" s="119">
        <f t="shared" si="43"/>
        <v>1.5764577430650486</v>
      </c>
      <c r="Q37" s="119">
        <f t="shared" si="42"/>
        <v>1.5017853699008803</v>
      </c>
      <c r="R37" s="119">
        <f t="shared" si="42"/>
        <v>1.4709289522229065</v>
      </c>
      <c r="S37" s="119">
        <f t="shared" si="42"/>
        <v>1.5124931230137668</v>
      </c>
      <c r="T37" s="119">
        <f t="shared" si="42"/>
        <v>1.499022469197</v>
      </c>
      <c r="U37" s="119">
        <f t="shared" si="42"/>
        <v>1.5521556017400497</v>
      </c>
      <c r="V37" s="40"/>
      <c r="W37" s="40"/>
      <c r="X37" s="40"/>
      <c r="Y37" s="40"/>
      <c r="Z37" s="40"/>
      <c r="AA37" s="40"/>
    </row>
    <row r="38" spans="1:27" s="36" customFormat="1" x14ac:dyDescent="0.25">
      <c r="A38" s="158" t="s">
        <v>21</v>
      </c>
      <c r="B38" s="65">
        <v>11</v>
      </c>
      <c r="C38" s="164"/>
      <c r="D38" s="119">
        <f t="shared" si="35"/>
        <v>2.5423213846782984</v>
      </c>
      <c r="E38" s="119">
        <f t="shared" si="35"/>
        <v>2.3971546209578474</v>
      </c>
      <c r="F38" s="119">
        <f t="shared" si="35"/>
        <v>4.2084048141557417</v>
      </c>
      <c r="G38" s="119">
        <f t="shared" si="35"/>
        <v>2.9106311879085833</v>
      </c>
      <c r="H38" s="119">
        <f t="shared" si="35"/>
        <v>2.5309075805231855</v>
      </c>
      <c r="I38" s="119">
        <f t="shared" si="35"/>
        <v>3.1619149872848995</v>
      </c>
      <c r="J38" s="119">
        <f t="shared" si="36"/>
        <v>0.40928977418420492</v>
      </c>
      <c r="K38" s="119">
        <f t="shared" si="37"/>
        <v>0.77925437582575741</v>
      </c>
      <c r="L38" s="119">
        <f t="shared" si="38"/>
        <v>1.0169343593468154</v>
      </c>
      <c r="M38" s="119">
        <f t="shared" si="39"/>
        <v>0.54809516418380111</v>
      </c>
      <c r="N38" s="119">
        <f t="shared" si="40"/>
        <v>0.66261568670890714</v>
      </c>
      <c r="O38" s="119">
        <f t="shared" si="41"/>
        <v>0.61564771269773411</v>
      </c>
      <c r="P38" s="119">
        <f t="shared" ref="P38:P39" si="44">+V12/V$27</f>
        <v>2.9804343519314034</v>
      </c>
      <c r="Q38" s="119">
        <f t="shared" ref="Q38:Q39" si="45">+W12/W$27</f>
        <v>2.0898299359513284</v>
      </c>
      <c r="R38" s="119">
        <f t="shared" ref="R38:R39" si="46">+X12/X$27</f>
        <v>2.4392230183055532</v>
      </c>
      <c r="S38" s="119">
        <f t="shared" ref="S38:S39" si="47">+Y12/Y$27</f>
        <v>4.8261558308055452</v>
      </c>
      <c r="T38" s="119">
        <f t="shared" ref="T38:T39" si="48">+Z12/Z$27</f>
        <v>3.8195708783982285</v>
      </c>
      <c r="U38" s="141">
        <f t="shared" ref="U38:U39" si="49">+AA12/AA$27</f>
        <v>3.6436925395422128</v>
      </c>
      <c r="V38" s="40"/>
      <c r="W38" s="40"/>
      <c r="X38" s="40"/>
      <c r="Y38" s="40"/>
      <c r="Z38" s="40"/>
      <c r="AA38" s="40"/>
    </row>
    <row r="39" spans="1:27" s="36" customFormat="1" x14ac:dyDescent="0.25">
      <c r="A39" s="158" t="s">
        <v>22</v>
      </c>
      <c r="B39" s="65">
        <v>12</v>
      </c>
      <c r="C39" s="164"/>
      <c r="D39" s="119">
        <f t="shared" si="35"/>
        <v>3.1567157193088868</v>
      </c>
      <c r="E39" s="119">
        <f t="shared" si="35"/>
        <v>5.412929789259656</v>
      </c>
      <c r="F39" s="119">
        <f t="shared" si="35"/>
        <v>3.4414655670431977</v>
      </c>
      <c r="G39" s="119">
        <f t="shared" si="35"/>
        <v>2.6966987099698025</v>
      </c>
      <c r="H39" s="119">
        <f t="shared" si="35"/>
        <v>2.9562779306214177</v>
      </c>
      <c r="I39" s="119">
        <f t="shared" si="35"/>
        <v>4.5523020406407984</v>
      </c>
      <c r="J39" s="119">
        <f t="shared" si="36"/>
        <v>3.9859958524956172</v>
      </c>
      <c r="K39" s="119">
        <f t="shared" si="37"/>
        <v>7.1460633511034226</v>
      </c>
      <c r="L39" s="119">
        <f t="shared" si="38"/>
        <v>5.6576128517659594</v>
      </c>
      <c r="M39" s="119">
        <f t="shared" si="39"/>
        <v>5.0264368003530731</v>
      </c>
      <c r="N39" s="119">
        <f t="shared" si="40"/>
        <v>6.6760311660886682</v>
      </c>
      <c r="O39" s="119">
        <f t="shared" si="41"/>
        <v>7.2509619495510904</v>
      </c>
      <c r="P39" s="119">
        <f t="shared" si="44"/>
        <v>0.77681283054305739</v>
      </c>
      <c r="Q39" s="119">
        <f t="shared" si="45"/>
        <v>0.74754492737644951</v>
      </c>
      <c r="R39" s="119">
        <f t="shared" si="46"/>
        <v>0.56113116308002353</v>
      </c>
      <c r="S39" s="119">
        <f t="shared" si="47"/>
        <v>0.48619680038528096</v>
      </c>
      <c r="T39" s="119">
        <f t="shared" si="48"/>
        <v>0.44281967190896632</v>
      </c>
      <c r="U39" s="141">
        <f t="shared" si="49"/>
        <v>0.52135546935540134</v>
      </c>
      <c r="V39" s="40"/>
      <c r="W39" s="40"/>
      <c r="X39" s="40"/>
      <c r="Y39" s="40"/>
      <c r="Z39" s="40"/>
      <c r="AA39" s="40"/>
    </row>
    <row r="40" spans="1:27" s="36" customFormat="1" x14ac:dyDescent="0.25">
      <c r="A40" s="159" t="s">
        <v>61</v>
      </c>
      <c r="B40" s="65">
        <v>13</v>
      </c>
      <c r="C40" s="164" t="s">
        <v>16</v>
      </c>
      <c r="D40" s="119">
        <f t="shared" si="35"/>
        <v>5.6990371039871857</v>
      </c>
      <c r="E40" s="119">
        <f t="shared" si="35"/>
        <v>7.8100844102175033</v>
      </c>
      <c r="F40" s="119">
        <f t="shared" si="35"/>
        <v>7.649870381198939</v>
      </c>
      <c r="G40" s="119">
        <f t="shared" si="35"/>
        <v>5.6073298978783859</v>
      </c>
      <c r="H40" s="119">
        <f t="shared" si="35"/>
        <v>5.4871855111446033</v>
      </c>
      <c r="I40" s="119">
        <f t="shared" si="35"/>
        <v>7.7142170279256979</v>
      </c>
      <c r="J40" s="119">
        <f t="shared" si="36"/>
        <v>4.3952856266798221</v>
      </c>
      <c r="K40" s="119">
        <f t="shared" si="37"/>
        <v>7.9253177269291806</v>
      </c>
      <c r="L40" s="119">
        <f t="shared" si="38"/>
        <v>6.6745472111127757</v>
      </c>
      <c r="M40" s="119">
        <f t="shared" si="39"/>
        <v>5.5745319645368747</v>
      </c>
      <c r="N40" s="119">
        <f t="shared" si="40"/>
        <v>7.3386468527975746</v>
      </c>
      <c r="O40" s="119">
        <f t="shared" si="41"/>
        <v>7.8666096622488251</v>
      </c>
      <c r="P40" s="119">
        <f t="shared" ref="P40:P45" si="50">+V14/V$27</f>
        <v>0.98201445598504167</v>
      </c>
      <c r="Q40" s="119">
        <f t="shared" ref="Q40:U40" si="51">+W14/W$27</f>
        <v>0.87952467917658006</v>
      </c>
      <c r="R40" s="119">
        <f t="shared" si="51"/>
        <v>0.84727733557369733</v>
      </c>
      <c r="S40" s="119">
        <f t="shared" si="51"/>
        <v>0.91290716323935506</v>
      </c>
      <c r="T40" s="119">
        <f t="shared" si="51"/>
        <v>0.7477108002618803</v>
      </c>
      <c r="U40" s="119">
        <f t="shared" si="51"/>
        <v>0.76571228354393439</v>
      </c>
      <c r="V40" s="40"/>
      <c r="W40" s="40"/>
      <c r="X40" s="40"/>
      <c r="Y40" s="40"/>
      <c r="Z40" s="40"/>
      <c r="AA40" s="40"/>
    </row>
    <row r="41" spans="1:27" s="36" customFormat="1" x14ac:dyDescent="0.25">
      <c r="A41" s="160" t="s">
        <v>23</v>
      </c>
      <c r="B41" s="65">
        <v>14</v>
      </c>
      <c r="C41" s="164" t="s">
        <v>16</v>
      </c>
      <c r="D41" s="119">
        <f t="shared" si="35"/>
        <v>48.157829764101692</v>
      </c>
      <c r="E41" s="119">
        <f t="shared" si="35"/>
        <v>48.503909305637279</v>
      </c>
      <c r="F41" s="119">
        <f t="shared" si="35"/>
        <v>53.107143176547311</v>
      </c>
      <c r="G41" s="119">
        <f t="shared" si="35"/>
        <v>62.469091000126156</v>
      </c>
      <c r="H41" s="119">
        <f t="shared" si="35"/>
        <v>63.653146308828745</v>
      </c>
      <c r="I41" s="119">
        <f t="shared" si="35"/>
        <v>64.908867933432646</v>
      </c>
      <c r="J41" s="119">
        <f t="shared" si="36"/>
        <v>28.670089934825967</v>
      </c>
      <c r="K41" s="119">
        <f t="shared" si="37"/>
        <v>38.978634819241613</v>
      </c>
      <c r="L41" s="119">
        <f t="shared" si="38"/>
        <v>48.380300856531456</v>
      </c>
      <c r="M41" s="119">
        <f t="shared" si="39"/>
        <v>58.657412571148882</v>
      </c>
      <c r="N41" s="119">
        <f t="shared" si="40"/>
        <v>62.670619142919868</v>
      </c>
      <c r="O41" s="119">
        <f t="shared" si="41"/>
        <v>63.124412141941001</v>
      </c>
      <c r="P41" s="119">
        <f t="shared" si="50"/>
        <v>1.7299925761959896</v>
      </c>
      <c r="Q41" s="119">
        <f t="shared" ref="Q41:U41" si="52">+W15/W$27</f>
        <v>1.3702454528111108</v>
      </c>
      <c r="R41" s="119">
        <f t="shared" si="52"/>
        <v>1.1967543914012826</v>
      </c>
      <c r="S41" s="119">
        <f t="shared" si="52"/>
        <v>1.055584716910235</v>
      </c>
      <c r="T41" s="119">
        <f t="shared" si="52"/>
        <v>1.0156776361769819</v>
      </c>
      <c r="U41" s="119">
        <f t="shared" si="52"/>
        <v>1.0501883443997744</v>
      </c>
      <c r="V41" s="40"/>
      <c r="W41" s="40"/>
      <c r="X41" s="40"/>
      <c r="Y41" s="40"/>
      <c r="Z41" s="40"/>
      <c r="AA41" s="40"/>
    </row>
    <row r="42" spans="1:27" s="36" customFormat="1" x14ac:dyDescent="0.25">
      <c r="A42" s="157" t="s">
        <v>24</v>
      </c>
      <c r="B42" s="65">
        <v>15</v>
      </c>
      <c r="C42" s="164" t="s">
        <v>16</v>
      </c>
      <c r="D42" s="119">
        <f t="shared" si="35"/>
        <v>30.700556255977386</v>
      </c>
      <c r="E42" s="119">
        <f t="shared" si="35"/>
        <v>31.495914125700363</v>
      </c>
      <c r="F42" s="119">
        <f t="shared" si="35"/>
        <v>33.06990912198566</v>
      </c>
      <c r="G42" s="119">
        <f t="shared" si="35"/>
        <v>38.89947937097832</v>
      </c>
      <c r="H42" s="119">
        <f t="shared" si="35"/>
        <v>40.880651733346333</v>
      </c>
      <c r="I42" s="119">
        <f t="shared" si="35"/>
        <v>40.483259536774888</v>
      </c>
      <c r="J42" s="119">
        <f t="shared" si="36"/>
        <v>15.538088953728399</v>
      </c>
      <c r="K42" s="119">
        <f t="shared" si="37"/>
        <v>21.358199997102613</v>
      </c>
      <c r="L42" s="119">
        <f t="shared" si="38"/>
        <v>27.513108385826719</v>
      </c>
      <c r="M42" s="119">
        <f t="shared" si="39"/>
        <v>33.649810030177072</v>
      </c>
      <c r="N42" s="119">
        <f t="shared" si="40"/>
        <v>37.213351953555076</v>
      </c>
      <c r="O42" s="119">
        <f t="shared" si="41"/>
        <v>36.64471996579735</v>
      </c>
      <c r="P42" s="119">
        <f t="shared" si="50"/>
        <v>1.5971539168893563</v>
      </c>
      <c r="Q42" s="119">
        <f t="shared" ref="Q42:U42" si="53">+W16/W$27</f>
        <v>1.4861512863287074</v>
      </c>
      <c r="R42" s="119">
        <f t="shared" si="53"/>
        <v>1.1821070307459065</v>
      </c>
      <c r="S42" s="119">
        <f t="shared" si="53"/>
        <v>1.112283762293357</v>
      </c>
      <c r="T42" s="119">
        <f t="shared" si="53"/>
        <v>1.0985479562380813</v>
      </c>
      <c r="U42" s="119">
        <f t="shared" si="53"/>
        <v>1.1862030560472512</v>
      </c>
      <c r="V42" s="40"/>
      <c r="W42" s="40"/>
      <c r="X42" s="40"/>
      <c r="Y42" s="40"/>
      <c r="Z42" s="40"/>
      <c r="AA42" s="40"/>
    </row>
    <row r="43" spans="1:27" s="36" customFormat="1" x14ac:dyDescent="0.25">
      <c r="A43" s="161" t="s">
        <v>25</v>
      </c>
      <c r="B43" s="65">
        <v>16</v>
      </c>
      <c r="C43" s="164"/>
      <c r="D43" s="119">
        <f t="shared" si="35"/>
        <v>14.70309200805616</v>
      </c>
      <c r="E43" s="119">
        <f t="shared" si="35"/>
        <v>14.228272588911095</v>
      </c>
      <c r="F43" s="119">
        <f t="shared" si="35"/>
        <v>14.957904983684859</v>
      </c>
      <c r="G43" s="119">
        <f t="shared" si="35"/>
        <v>15.671607706295099</v>
      </c>
      <c r="H43" s="119">
        <f t="shared" si="35"/>
        <v>14.951752471765753</v>
      </c>
      <c r="I43" s="119">
        <f t="shared" si="35"/>
        <v>15.177882748510557</v>
      </c>
      <c r="J43" s="119">
        <f t="shared" si="36"/>
        <v>10.854558273247312</v>
      </c>
      <c r="K43" s="119">
        <f t="shared" si="37"/>
        <v>14.135860519516811</v>
      </c>
      <c r="L43" s="119">
        <f t="shared" si="38"/>
        <v>17.603397659556069</v>
      </c>
      <c r="M43" s="119">
        <f t="shared" si="39"/>
        <v>20.7353890535273</v>
      </c>
      <c r="N43" s="119">
        <f t="shared" si="40"/>
        <v>22.657181545530371</v>
      </c>
      <c r="O43" s="119">
        <f t="shared" si="41"/>
        <v>20.02223172295853</v>
      </c>
      <c r="P43" s="119">
        <f t="shared" si="50"/>
        <v>1.0503272106143102</v>
      </c>
      <c r="Q43" s="119">
        <f t="shared" ref="Q43:Q44" si="54">+W17/W$27</f>
        <v>1.1034829308917866</v>
      </c>
      <c r="R43" s="119">
        <f t="shared" ref="R43:R44" si="55">+X17/X$27</f>
        <v>0.7888236206603918</v>
      </c>
      <c r="S43" s="119">
        <f t="shared" ref="S43:S44" si="56">+Y17/Y$27</f>
        <v>0.72095267975985533</v>
      </c>
      <c r="T43" s="119">
        <f t="shared" ref="T43:T44" si="57">+Z17/Z$27</f>
        <v>0.65991228616497166</v>
      </c>
      <c r="U43" s="141">
        <f t="shared" ref="U43:U44" si="58">+AA17/AA$27</f>
        <v>0.73408144281202425</v>
      </c>
      <c r="V43" s="40"/>
      <c r="W43" s="40"/>
      <c r="X43" s="40"/>
      <c r="Y43" s="40"/>
      <c r="Z43" s="40"/>
      <c r="AA43" s="40"/>
    </row>
    <row r="44" spans="1:27" s="36" customFormat="1" x14ac:dyDescent="0.25">
      <c r="A44" s="161" t="s">
        <v>26</v>
      </c>
      <c r="B44" s="65">
        <v>17</v>
      </c>
      <c r="C44" s="164"/>
      <c r="D44" s="119">
        <f t="shared" si="35"/>
        <v>10.487075711797981</v>
      </c>
      <c r="E44" s="119">
        <f t="shared" si="35"/>
        <v>9.5438498915893923</v>
      </c>
      <c r="F44" s="119">
        <f t="shared" si="35"/>
        <v>8.5956957176379944</v>
      </c>
      <c r="G44" s="119">
        <f t="shared" si="35"/>
        <v>10.329170918413746</v>
      </c>
      <c r="H44" s="119">
        <f t="shared" si="35"/>
        <v>10.693448714654037</v>
      </c>
      <c r="I44" s="119">
        <f t="shared" si="35"/>
        <v>9.0191828243249912</v>
      </c>
      <c r="J44" s="119">
        <f t="shared" si="36"/>
        <v>2.9611967810974344</v>
      </c>
      <c r="K44" s="119">
        <f t="shared" si="37"/>
        <v>4.5005818065997056</v>
      </c>
      <c r="L44" s="119">
        <f t="shared" si="38"/>
        <v>5.0413459628812021</v>
      </c>
      <c r="M44" s="119">
        <f t="shared" si="39"/>
        <v>5.3433859428762132</v>
      </c>
      <c r="N44" s="119">
        <f t="shared" si="40"/>
        <v>5.0230543992449412</v>
      </c>
      <c r="O44" s="119">
        <f t="shared" si="41"/>
        <v>5.2945703292005133</v>
      </c>
      <c r="P44" s="119">
        <f t="shared" si="50"/>
        <v>1.9240596114362039</v>
      </c>
      <c r="Q44" s="119">
        <f t="shared" si="54"/>
        <v>1.4930182356138422</v>
      </c>
      <c r="R44" s="119">
        <f t="shared" si="55"/>
        <v>1.3905684483489869</v>
      </c>
      <c r="S44" s="119">
        <f t="shared" si="56"/>
        <v>1.780819423487308</v>
      </c>
      <c r="T44" s="119">
        <f t="shared" si="57"/>
        <v>2.128873761801477</v>
      </c>
      <c r="U44" s="141">
        <f t="shared" si="58"/>
        <v>2.0671195438919479</v>
      </c>
      <c r="V44" s="40"/>
      <c r="W44" s="40"/>
      <c r="X44" s="40"/>
      <c r="Y44" s="40"/>
      <c r="Z44" s="40"/>
      <c r="AA44" s="40"/>
    </row>
    <row r="45" spans="1:27" s="36" customFormat="1" x14ac:dyDescent="0.25">
      <c r="A45" s="158" t="s">
        <v>27</v>
      </c>
      <c r="B45" s="65">
        <v>18</v>
      </c>
      <c r="C45" s="164" t="s">
        <v>16</v>
      </c>
      <c r="D45" s="119">
        <f t="shared" si="35"/>
        <v>25.190167719854138</v>
      </c>
      <c r="E45" s="119">
        <f t="shared" si="35"/>
        <v>23.772122480500489</v>
      </c>
      <c r="F45" s="119">
        <f t="shared" si="35"/>
        <v>23.553600701322853</v>
      </c>
      <c r="G45" s="119">
        <f t="shared" si="35"/>
        <v>26.000778624708843</v>
      </c>
      <c r="H45" s="119">
        <f t="shared" si="35"/>
        <v>25.645201186419786</v>
      </c>
      <c r="I45" s="119">
        <f t="shared" si="35"/>
        <v>24.197065572835548</v>
      </c>
      <c r="J45" s="119">
        <f t="shared" si="36"/>
        <v>13.815755054344747</v>
      </c>
      <c r="K45" s="119">
        <f t="shared" si="37"/>
        <v>18.636442326116516</v>
      </c>
      <c r="L45" s="119">
        <f t="shared" si="38"/>
        <v>22.644743622437275</v>
      </c>
      <c r="M45" s="119">
        <f t="shared" si="39"/>
        <v>26.078774996403514</v>
      </c>
      <c r="N45" s="119">
        <f t="shared" si="40"/>
        <v>27.680235944775312</v>
      </c>
      <c r="O45" s="119">
        <f t="shared" si="41"/>
        <v>25.316802052159044</v>
      </c>
      <c r="P45" s="119">
        <f t="shared" si="50"/>
        <v>1.237598450056318</v>
      </c>
      <c r="Q45" s="119">
        <f t="shared" ref="Q45:U45" si="59">+W19/W$27</f>
        <v>1.1975532193504139</v>
      </c>
      <c r="R45" s="119">
        <f t="shared" si="59"/>
        <v>0.92278865503361096</v>
      </c>
      <c r="S45" s="119">
        <f t="shared" si="59"/>
        <v>0.93811307400905874</v>
      </c>
      <c r="T45" s="119">
        <f t="shared" si="59"/>
        <v>0.9264805848326001</v>
      </c>
      <c r="U45" s="119">
        <f t="shared" si="59"/>
        <v>1.0128632558992603</v>
      </c>
      <c r="V45" s="40"/>
      <c r="W45" s="40"/>
      <c r="X45" s="40"/>
      <c r="Y45" s="40"/>
      <c r="Z45" s="40"/>
      <c r="AA45" s="40"/>
    </row>
    <row r="46" spans="1:27" s="36" customFormat="1" x14ac:dyDescent="0.25">
      <c r="A46" s="157" t="s">
        <v>63</v>
      </c>
      <c r="B46" s="65">
        <v>21</v>
      </c>
      <c r="C46" s="164" t="s">
        <v>16</v>
      </c>
      <c r="D46" s="119">
        <f t="shared" ref="D46:I47" si="60">(D22/D$27)*100</f>
        <v>5.5103885361232461</v>
      </c>
      <c r="E46" s="119">
        <f t="shared" si="60"/>
        <v>7.7237916451998716</v>
      </c>
      <c r="F46" s="119">
        <f t="shared" si="60"/>
        <v>9.516308420662801</v>
      </c>
      <c r="G46" s="119">
        <f t="shared" si="60"/>
        <v>12.898700746269473</v>
      </c>
      <c r="H46" s="119">
        <f t="shared" si="60"/>
        <v>15.235450546926543</v>
      </c>
      <c r="I46" s="119">
        <f t="shared" si="60"/>
        <v>16.286193963939343</v>
      </c>
      <c r="J46" s="119">
        <f t="shared" ref="J46:O47" si="61">(P22/P$27)*100</f>
        <v>1.7223338993836528</v>
      </c>
      <c r="K46" s="119">
        <f t="shared" si="61"/>
        <v>2.7217576709860962</v>
      </c>
      <c r="L46" s="119">
        <f t="shared" si="61"/>
        <v>4.8683647633894465</v>
      </c>
      <c r="M46" s="119">
        <f t="shared" si="61"/>
        <v>7.5710350337735557</v>
      </c>
      <c r="N46" s="119">
        <f t="shared" si="61"/>
        <v>9.5331160087797606</v>
      </c>
      <c r="O46" s="119">
        <f t="shared" si="61"/>
        <v>11.327917913638306</v>
      </c>
      <c r="P46" s="119">
        <f>+V22/V$27</f>
        <v>4.4813393004514506</v>
      </c>
      <c r="Q46" s="119">
        <f t="shared" ref="Q46:U46" si="62">+W22/W$27</f>
        <v>3.4622424306667221</v>
      </c>
      <c r="R46" s="119">
        <f t="shared" si="62"/>
        <v>2.3883022153695559</v>
      </c>
      <c r="S46" s="119">
        <f t="shared" si="62"/>
        <v>1.7122226306875579</v>
      </c>
      <c r="T46" s="119">
        <f t="shared" si="62"/>
        <v>1.5981606153638617</v>
      </c>
      <c r="U46" s="119">
        <f t="shared" si="62"/>
        <v>1.5736007615712337</v>
      </c>
      <c r="V46" s="40"/>
      <c r="W46" s="40"/>
      <c r="X46" s="40"/>
      <c r="Y46" s="40"/>
      <c r="Z46" s="40"/>
      <c r="AA46" s="40"/>
    </row>
    <row r="47" spans="1:27" s="36" customFormat="1" x14ac:dyDescent="0.25">
      <c r="A47" s="158" t="s">
        <v>32</v>
      </c>
      <c r="B47" s="65">
        <v>22</v>
      </c>
      <c r="C47" s="164" t="s">
        <v>16</v>
      </c>
      <c r="D47" s="119">
        <f t="shared" si="60"/>
        <v>17.457273508124317</v>
      </c>
      <c r="E47" s="119">
        <f t="shared" si="60"/>
        <v>17.00799517993692</v>
      </c>
      <c r="F47" s="119">
        <f t="shared" si="60"/>
        <v>20.037234054561651</v>
      </c>
      <c r="G47" s="119">
        <f t="shared" si="60"/>
        <v>23.569611629147833</v>
      </c>
      <c r="H47" s="119">
        <f t="shared" si="60"/>
        <v>22.772494575482412</v>
      </c>
      <c r="I47" s="119">
        <f t="shared" si="60"/>
        <v>24.425608396657758</v>
      </c>
      <c r="J47" s="119">
        <f t="shared" si="61"/>
        <v>13.132000981097566</v>
      </c>
      <c r="K47" s="119">
        <f t="shared" si="61"/>
        <v>17.620434822139003</v>
      </c>
      <c r="L47" s="119">
        <f t="shared" si="61"/>
        <v>20.867192470704737</v>
      </c>
      <c r="M47" s="119">
        <f t="shared" si="61"/>
        <v>25.007602540971796</v>
      </c>
      <c r="N47" s="119">
        <f t="shared" si="61"/>
        <v>25.457267189364792</v>
      </c>
      <c r="O47" s="119">
        <f t="shared" si="61"/>
        <v>26.479692176143647</v>
      </c>
      <c r="P47" s="119">
        <f>+V23/V$27</f>
        <v>1.8871703671336795</v>
      </c>
      <c r="Q47" s="119">
        <f t="shared" ref="Q47:U47" si="63">+W23/W$27</f>
        <v>1.2297528941377371</v>
      </c>
      <c r="R47" s="119">
        <f t="shared" si="63"/>
        <v>1.2160667364540922</v>
      </c>
      <c r="S47" s="119">
        <f t="shared" si="63"/>
        <v>0.97929143358135251</v>
      </c>
      <c r="T47" s="119">
        <f t="shared" si="63"/>
        <v>0.89453806671738978</v>
      </c>
      <c r="U47" s="119">
        <f t="shared" si="63"/>
        <v>0.86196028697390714</v>
      </c>
      <c r="V47" s="40"/>
      <c r="W47" s="40"/>
      <c r="X47" s="40"/>
      <c r="Y47" s="40"/>
      <c r="Z47" s="40"/>
      <c r="AA47" s="40"/>
    </row>
    <row r="48" spans="1:27" s="36" customFormat="1" x14ac:dyDescent="0.25">
      <c r="A48" s="157" t="s">
        <v>33</v>
      </c>
      <c r="B48" s="65">
        <v>23</v>
      </c>
      <c r="C48" s="164" t="s">
        <v>16</v>
      </c>
      <c r="D48" s="119">
        <f t="shared" ref="D48:I48" si="64">+(D24/D$27)*100</f>
        <v>9.4489611463876759</v>
      </c>
      <c r="E48" s="119">
        <f t="shared" si="64"/>
        <v>11.041562795685298</v>
      </c>
      <c r="F48" s="119">
        <f t="shared" si="64"/>
        <v>15.013682383474864</v>
      </c>
      <c r="G48" s="119">
        <f t="shared" si="64"/>
        <v>17.007057252162497</v>
      </c>
      <c r="H48" s="119">
        <f t="shared" si="64"/>
        <v>15.990566976719059</v>
      </c>
      <c r="I48" s="119">
        <f t="shared" si="64"/>
        <v>17.062420038454725</v>
      </c>
      <c r="J48" s="119">
        <f t="shared" ref="J48:O48" si="65">+(P24/P$27)*100</f>
        <v>4.6652078630775282</v>
      </c>
      <c r="K48" s="119">
        <f t="shared" si="65"/>
        <v>7.4334100144454611</v>
      </c>
      <c r="L48" s="119">
        <f t="shared" si="65"/>
        <v>10.662727952928284</v>
      </c>
      <c r="M48" s="119">
        <f t="shared" si="65"/>
        <v>14.61294899566694</v>
      </c>
      <c r="N48" s="119">
        <f t="shared" si="65"/>
        <v>14.875706153669421</v>
      </c>
      <c r="O48" s="119">
        <f t="shared" si="65"/>
        <v>15.473150237292256</v>
      </c>
      <c r="P48" s="119">
        <f>+V24/V$27</f>
        <v>3.9987330109614678</v>
      </c>
      <c r="Q48" s="119">
        <f t="shared" ref="Q48:U48" si="66">+W24/W$27</f>
        <v>2.3301489534214119</v>
      </c>
      <c r="R48" s="119">
        <f t="shared" si="66"/>
        <v>1.8733339133749207</v>
      </c>
      <c r="S48" s="119">
        <f t="shared" si="66"/>
        <v>1.2116350352940328</v>
      </c>
      <c r="T48" s="119">
        <f t="shared" si="66"/>
        <v>1.0749450689286864</v>
      </c>
      <c r="U48" s="119">
        <f t="shared" si="66"/>
        <v>1.0520728502482102</v>
      </c>
      <c r="V48" s="40"/>
      <c r="W48" s="40"/>
      <c r="X48" s="40"/>
      <c r="Y48" s="40"/>
      <c r="Z48" s="40"/>
      <c r="AA48" s="40"/>
    </row>
    <row r="49" spans="1:27" s="36" customFormat="1" x14ac:dyDescent="0.25">
      <c r="A49" s="162" t="s">
        <v>35</v>
      </c>
      <c r="B49" s="65">
        <v>25</v>
      </c>
      <c r="C49" s="164" t="s">
        <v>16</v>
      </c>
      <c r="D49" s="119">
        <f t="shared" ref="D49:I50" si="67">(D26/D$27)*100</f>
        <v>8.0083123617366407</v>
      </c>
      <c r="E49" s="119">
        <f t="shared" si="67"/>
        <v>5.9664323842516209</v>
      </c>
      <c r="F49" s="119">
        <f t="shared" si="67"/>
        <v>5.0235516710867882</v>
      </c>
      <c r="G49" s="119">
        <f t="shared" si="67"/>
        <v>6.5625543769853358</v>
      </c>
      <c r="H49" s="119">
        <f t="shared" si="67"/>
        <v>6.7819275987633558</v>
      </c>
      <c r="I49" s="119">
        <f t="shared" si="67"/>
        <v>7.3631883582030335</v>
      </c>
      <c r="J49" s="119">
        <f t="shared" ref="J49:O50" si="68">(P26/P$27)*100</f>
        <v>8.4667931180200373</v>
      </c>
      <c r="K49" s="119">
        <f t="shared" si="68"/>
        <v>10.187024807693541</v>
      </c>
      <c r="L49" s="119">
        <f t="shared" si="68"/>
        <v>10.204464517776454</v>
      </c>
      <c r="M49" s="119">
        <f t="shared" si="68"/>
        <v>10.394653545304855</v>
      </c>
      <c r="N49" s="119">
        <f t="shared" si="68"/>
        <v>10.581561035695369</v>
      </c>
      <c r="O49" s="119">
        <f t="shared" si="68"/>
        <v>11.006541938851397</v>
      </c>
      <c r="P49" s="119">
        <f>+V26/V$27</f>
        <v>0.72369813956733442</v>
      </c>
      <c r="Q49" s="119">
        <f t="shared" ref="Q49:U49" si="69">+W26/W$27</f>
        <v>0.42680058555417094</v>
      </c>
      <c r="R49" s="119">
        <f t="shared" si="69"/>
        <v>0.52928291867635457</v>
      </c>
      <c r="S49" s="119">
        <f t="shared" si="69"/>
        <v>0.65265955628992112</v>
      </c>
      <c r="T49" s="119">
        <f t="shared" si="69"/>
        <v>0.64091938570174112</v>
      </c>
      <c r="U49" s="119">
        <f t="shared" si="69"/>
        <v>0.59469739278945077</v>
      </c>
      <c r="V49" s="40"/>
      <c r="W49" s="40"/>
      <c r="X49" s="40"/>
      <c r="Y49" s="40"/>
      <c r="Z49" s="40"/>
      <c r="AA49" s="40"/>
    </row>
    <row r="50" spans="1:27" s="36" customFormat="1" x14ac:dyDescent="0.25">
      <c r="A50" s="163" t="s">
        <v>37</v>
      </c>
      <c r="B50" s="65">
        <v>26</v>
      </c>
      <c r="C50" s="164" t="s">
        <v>16</v>
      </c>
      <c r="D50" s="191">
        <f t="shared" si="67"/>
        <v>100</v>
      </c>
      <c r="E50" s="191">
        <f t="shared" si="67"/>
        <v>100</v>
      </c>
      <c r="F50" s="191">
        <f t="shared" si="67"/>
        <v>100</v>
      </c>
      <c r="G50" s="191">
        <f t="shared" si="67"/>
        <v>100</v>
      </c>
      <c r="H50" s="191">
        <f t="shared" si="67"/>
        <v>100</v>
      </c>
      <c r="I50" s="191">
        <f t="shared" si="67"/>
        <v>100</v>
      </c>
      <c r="J50" s="191">
        <f t="shared" si="68"/>
        <v>100</v>
      </c>
      <c r="K50" s="191">
        <f t="shared" si="68"/>
        <v>100</v>
      </c>
      <c r="L50" s="191">
        <f t="shared" si="68"/>
        <v>100</v>
      </c>
      <c r="M50" s="191">
        <f t="shared" si="68"/>
        <v>100</v>
      </c>
      <c r="N50" s="191">
        <f t="shared" si="68"/>
        <v>100</v>
      </c>
      <c r="O50" s="191">
        <f t="shared" si="68"/>
        <v>100</v>
      </c>
      <c r="P50" s="191">
        <f>+V27/V$27</f>
        <v>1</v>
      </c>
      <c r="Q50" s="191">
        <f t="shared" ref="Q50:U50" si="70">+W27/W$27</f>
        <v>1</v>
      </c>
      <c r="R50" s="191">
        <f t="shared" si="70"/>
        <v>1</v>
      </c>
      <c r="S50" s="191">
        <f t="shared" si="70"/>
        <v>1</v>
      </c>
      <c r="T50" s="191">
        <f t="shared" si="70"/>
        <v>1</v>
      </c>
      <c r="U50" s="191">
        <f t="shared" si="70"/>
        <v>1</v>
      </c>
      <c r="V50" s="40"/>
      <c r="W50" s="40"/>
      <c r="X50" s="40"/>
      <c r="Y50" s="40"/>
      <c r="Z50" s="40"/>
      <c r="AA50" s="40"/>
    </row>
    <row r="51" spans="1:27" s="36" customFormat="1" x14ac:dyDescent="0.25">
      <c r="A51" s="121" t="s">
        <v>72</v>
      </c>
      <c r="B51" s="37"/>
      <c r="C51" s="38"/>
      <c r="D51" s="41"/>
      <c r="E51" s="39"/>
      <c r="F51" s="39"/>
      <c r="G51" s="39"/>
      <c r="H51" s="39"/>
      <c r="I51" s="39"/>
      <c r="J51" s="39"/>
      <c r="K51" s="39"/>
      <c r="L51" s="39"/>
      <c r="M51" s="39"/>
      <c r="N51" s="39"/>
      <c r="O51" s="39"/>
      <c r="P51" s="39"/>
      <c r="Q51" s="39"/>
      <c r="R51" s="39"/>
      <c r="S51" s="41">
        <f>+S34+S36+S37+S38+S39+S43+S44+S46+S48+S49</f>
        <v>15.708384246097188</v>
      </c>
      <c r="T51" s="41">
        <f>+T34+T36+T37+T38+T39+T43+T44+T46+T48+T49</f>
        <v>15.390135900699969</v>
      </c>
      <c r="U51" s="41">
        <f>+U34+U36+U37+U38+U39+U43+U44+U46+U48+U49</f>
        <v>15.031817534441252</v>
      </c>
      <c r="V51" s="139" t="s">
        <v>78</v>
      </c>
      <c r="W51" s="40"/>
      <c r="X51" s="40"/>
      <c r="Y51" s="40"/>
      <c r="Z51" s="40"/>
      <c r="AA51" s="40"/>
    </row>
    <row r="52" spans="1:27" s="36" customFormat="1" x14ac:dyDescent="0.25">
      <c r="A52" s="122" t="s">
        <v>72</v>
      </c>
      <c r="B52" s="65"/>
      <c r="C52" s="164" t="s">
        <v>16</v>
      </c>
      <c r="D52" s="41"/>
      <c r="E52" s="39"/>
      <c r="F52" s="39"/>
      <c r="G52" s="39"/>
      <c r="H52" s="39"/>
      <c r="I52" s="43" t="s">
        <v>68</v>
      </c>
      <c r="J52" s="167">
        <v>50</v>
      </c>
      <c r="K52" s="168">
        <v>10</v>
      </c>
      <c r="L52" s="168">
        <v>5</v>
      </c>
      <c r="M52" s="168">
        <v>5</v>
      </c>
      <c r="N52" s="39"/>
      <c r="O52" s="39"/>
      <c r="P52" s="39"/>
      <c r="Q52" s="39"/>
      <c r="R52" s="39"/>
      <c r="S52" s="39"/>
      <c r="T52" s="39"/>
      <c r="U52" s="140">
        <f>+U34+U36+U37+U40+U45+U46+U48+U49</f>
        <v>9.8441440782828611</v>
      </c>
      <c r="V52" s="39" t="s">
        <v>79</v>
      </c>
      <c r="W52" s="40"/>
      <c r="X52" s="40"/>
      <c r="Y52" s="40"/>
      <c r="Z52" s="40"/>
      <c r="AA52" s="40"/>
    </row>
    <row r="53" spans="1:27" s="36" customFormat="1" ht="14.4" x14ac:dyDescent="0.25">
      <c r="A53" s="7" t="s">
        <v>69</v>
      </c>
      <c r="B53" s="65"/>
      <c r="C53" s="164" t="s">
        <v>16</v>
      </c>
      <c r="D53" s="251" t="s">
        <v>64</v>
      </c>
      <c r="E53" s="252"/>
      <c r="F53" s="252"/>
      <c r="G53" s="252"/>
      <c r="H53" s="252"/>
      <c r="I53" s="252"/>
      <c r="J53" s="253" t="s">
        <v>40</v>
      </c>
      <c r="K53" s="253"/>
      <c r="L53" s="253"/>
      <c r="M53" s="253"/>
      <c r="N53" s="80"/>
      <c r="O53" s="188"/>
      <c r="P53" s="39"/>
      <c r="Q53" s="39"/>
      <c r="R53" s="39"/>
      <c r="S53" s="39"/>
      <c r="T53" s="39"/>
      <c r="U53" s="39"/>
      <c r="V53" s="40"/>
      <c r="W53" s="40"/>
      <c r="X53" s="40"/>
      <c r="Y53" s="40"/>
      <c r="Z53" s="40"/>
      <c r="AA53" s="40"/>
    </row>
    <row r="54" spans="1:27" s="37" customFormat="1" ht="24" x14ac:dyDescent="0.25">
      <c r="A54" s="186" t="s">
        <v>71</v>
      </c>
      <c r="B54" s="65"/>
      <c r="C54" s="164" t="s">
        <v>16</v>
      </c>
      <c r="D54" s="177" t="s">
        <v>62</v>
      </c>
      <c r="E54" s="178" t="s">
        <v>7</v>
      </c>
      <c r="F54" s="178" t="s">
        <v>8</v>
      </c>
      <c r="G54" s="179">
        <v>2000</v>
      </c>
      <c r="H54" s="179">
        <v>2005</v>
      </c>
      <c r="I54" s="178" t="s">
        <v>9</v>
      </c>
      <c r="J54" s="180" t="s">
        <v>86</v>
      </c>
      <c r="K54" s="180" t="s">
        <v>67</v>
      </c>
      <c r="L54" s="181" t="s">
        <v>65</v>
      </c>
      <c r="M54" s="181" t="s">
        <v>66</v>
      </c>
      <c r="N54" s="81"/>
      <c r="O54" s="188"/>
      <c r="P54" s="187"/>
      <c r="Q54" s="187"/>
      <c r="R54" s="187"/>
      <c r="S54" s="187"/>
      <c r="T54" s="187"/>
      <c r="U54" s="187"/>
      <c r="V54" s="185"/>
      <c r="W54" s="185"/>
      <c r="X54" s="185"/>
      <c r="Y54" s="185"/>
      <c r="Z54" s="185"/>
      <c r="AA54" s="185"/>
    </row>
    <row r="55" spans="1:27" s="36" customFormat="1" x14ac:dyDescent="0.25">
      <c r="A55" s="155" t="s">
        <v>14</v>
      </c>
      <c r="B55" s="65">
        <v>7</v>
      </c>
      <c r="C55" s="164" t="s">
        <v>16</v>
      </c>
      <c r="D55" s="166">
        <f t="shared" ref="D55:D66" si="71">(V8/$V8)*100</f>
        <v>100</v>
      </c>
      <c r="E55" s="119">
        <f t="shared" ref="E55:E66" si="72">(W8/$V8)*100</f>
        <v>194.92278505398377</v>
      </c>
      <c r="F55" s="119">
        <f t="shared" ref="F55:F66" si="73">(X8/$V8)*100</f>
        <v>296.49549980019896</v>
      </c>
      <c r="G55" s="119">
        <f t="shared" ref="G55:G66" si="74">(Y8/$V8)*100</f>
        <v>306.86414979847876</v>
      </c>
      <c r="H55" s="119">
        <f t="shared" ref="H55:H66" si="75">(Z8/$V8)*100</f>
        <v>410.66611251124402</v>
      </c>
      <c r="I55" s="119">
        <f t="shared" ref="I55:I66" si="76">(AA8/$V8)*100</f>
        <v>418.16964016813796</v>
      </c>
      <c r="J55" s="120">
        <f t="shared" ref="J55:J66" si="77">EXP(LN(AA8/V8)/50)-1</f>
        <v>2.9027663170929197E-2</v>
      </c>
      <c r="K55" s="120">
        <f t="shared" ref="K55:K66" si="78">EXP(LN(Y8/X8)/10)-1</f>
        <v>3.4432243514823657E-3</v>
      </c>
      <c r="L55" s="120">
        <f t="shared" ref="L55:L66" si="79">EXP(LN(Z8/Y8)/5)-1</f>
        <v>6.0006534824443403E-2</v>
      </c>
      <c r="M55" s="120">
        <f t="shared" ref="M55:M66" si="80">EXP(LN(AA8/Z8)/5)-1</f>
        <v>3.6279013403812677E-3</v>
      </c>
      <c r="N55" s="39"/>
      <c r="O55" s="188"/>
      <c r="P55" s="39"/>
      <c r="Q55" s="39"/>
      <c r="R55" s="39"/>
      <c r="S55" s="39"/>
      <c r="T55" s="39"/>
      <c r="U55" s="39"/>
      <c r="V55" s="40"/>
      <c r="W55" s="40"/>
      <c r="X55" s="40"/>
      <c r="Y55" s="40"/>
      <c r="Z55" s="40"/>
      <c r="AA55" s="40"/>
    </row>
    <row r="56" spans="1:27" s="36" customFormat="1" x14ac:dyDescent="0.25">
      <c r="A56" s="156" t="s">
        <v>17</v>
      </c>
      <c r="B56" s="65">
        <v>8</v>
      </c>
      <c r="C56" s="164" t="s">
        <v>16</v>
      </c>
      <c r="D56" s="166">
        <f t="shared" si="71"/>
        <v>100</v>
      </c>
      <c r="E56" s="119">
        <f t="shared" si="72"/>
        <v>132.47974581636672</v>
      </c>
      <c r="F56" s="119">
        <f t="shared" si="73"/>
        <v>114.42301737092571</v>
      </c>
      <c r="G56" s="119">
        <f t="shared" si="74"/>
        <v>137.58115309034972</v>
      </c>
      <c r="H56" s="119">
        <f t="shared" si="75"/>
        <v>149.57216762973053</v>
      </c>
      <c r="I56" s="119">
        <f t="shared" si="76"/>
        <v>164.17335064814151</v>
      </c>
      <c r="J56" s="120">
        <f t="shared" si="77"/>
        <v>9.9643710013923581E-3</v>
      </c>
      <c r="K56" s="120">
        <f t="shared" si="78"/>
        <v>1.8602071132895581E-2</v>
      </c>
      <c r="L56" s="120">
        <f t="shared" si="79"/>
        <v>1.6853454827615799E-2</v>
      </c>
      <c r="M56" s="120">
        <f t="shared" si="80"/>
        <v>1.880337470547544E-2</v>
      </c>
      <c r="N56" s="39"/>
      <c r="O56" s="188"/>
      <c r="P56" s="39"/>
      <c r="Q56" s="39"/>
      <c r="R56" s="39"/>
      <c r="S56" s="39"/>
      <c r="T56" s="39"/>
      <c r="U56" s="39"/>
      <c r="V56" s="40"/>
      <c r="W56" s="40"/>
      <c r="X56" s="40"/>
      <c r="Y56" s="40"/>
      <c r="Z56" s="40"/>
      <c r="AA56" s="40"/>
    </row>
    <row r="57" spans="1:27" s="36" customFormat="1" x14ac:dyDescent="0.25">
      <c r="A57" s="157" t="s">
        <v>19</v>
      </c>
      <c r="B57" s="65">
        <v>9</v>
      </c>
      <c r="C57" s="164" t="s">
        <v>16</v>
      </c>
      <c r="D57" s="166">
        <f t="shared" si="71"/>
        <v>100</v>
      </c>
      <c r="E57" s="119">
        <f t="shared" si="72"/>
        <v>123.5176872072782</v>
      </c>
      <c r="F57" s="119">
        <f t="shared" si="73"/>
        <v>77.67118574497897</v>
      </c>
      <c r="G57" s="119">
        <f t="shared" si="74"/>
        <v>159.11685739199771</v>
      </c>
      <c r="H57" s="119">
        <f t="shared" si="75"/>
        <v>231.0739332276984</v>
      </c>
      <c r="I57" s="119">
        <f t="shared" si="76"/>
        <v>243.26773083683423</v>
      </c>
      <c r="J57" s="120">
        <f t="shared" si="77"/>
        <v>1.7938850931302985E-2</v>
      </c>
      <c r="K57" s="120">
        <f t="shared" si="78"/>
        <v>7.4349598219769275E-2</v>
      </c>
      <c r="L57" s="120">
        <f t="shared" si="79"/>
        <v>7.7474381055185004E-2</v>
      </c>
      <c r="M57" s="120">
        <f t="shared" si="80"/>
        <v>1.0338050835237755E-2</v>
      </c>
      <c r="N57" s="39"/>
      <c r="O57" s="188"/>
      <c r="P57" s="39"/>
      <c r="Q57" s="39"/>
      <c r="R57" s="39"/>
      <c r="S57" s="39"/>
      <c r="T57" s="39"/>
      <c r="U57" s="39"/>
      <c r="V57" s="40"/>
      <c r="W57" s="40"/>
      <c r="X57" s="40"/>
      <c r="Y57" s="40"/>
      <c r="Z57" s="40"/>
      <c r="AA57" s="40"/>
    </row>
    <row r="58" spans="1:27" s="36" customFormat="1" x14ac:dyDescent="0.25">
      <c r="A58" s="158" t="s">
        <v>20</v>
      </c>
      <c r="B58" s="65">
        <v>10</v>
      </c>
      <c r="C58" s="164" t="s">
        <v>16</v>
      </c>
      <c r="D58" s="166">
        <f t="shared" si="71"/>
        <v>100</v>
      </c>
      <c r="E58" s="119">
        <f t="shared" si="72"/>
        <v>173.64547112933911</v>
      </c>
      <c r="F58" s="119">
        <f t="shared" si="73"/>
        <v>168.13677377056456</v>
      </c>
      <c r="G58" s="119">
        <f t="shared" si="74"/>
        <v>172.94164403499843</v>
      </c>
      <c r="H58" s="119">
        <f t="shared" si="75"/>
        <v>197.08337679561168</v>
      </c>
      <c r="I58" s="119">
        <f t="shared" si="76"/>
        <v>229.60130971018842</v>
      </c>
      <c r="J58" s="120">
        <f t="shared" si="77"/>
        <v>1.6762422574751357E-2</v>
      </c>
      <c r="K58" s="120">
        <f t="shared" si="78"/>
        <v>2.8216175013831002E-3</v>
      </c>
      <c r="L58" s="120">
        <f t="shared" si="79"/>
        <v>2.6479031776421191E-2</v>
      </c>
      <c r="M58" s="120">
        <f t="shared" si="80"/>
        <v>3.1014737611580134E-2</v>
      </c>
      <c r="N58" s="39"/>
      <c r="O58" s="188"/>
      <c r="P58" s="39"/>
      <c r="Q58" s="39"/>
      <c r="R58" s="39"/>
      <c r="S58" s="39"/>
      <c r="T58" s="39"/>
      <c r="U58" s="39"/>
      <c r="V58" s="40"/>
      <c r="W58" s="40"/>
      <c r="X58" s="40"/>
      <c r="Y58" s="40"/>
      <c r="Z58" s="40"/>
      <c r="AA58" s="40"/>
    </row>
    <row r="59" spans="1:27" s="36" customFormat="1" x14ac:dyDescent="0.25">
      <c r="A59" s="158" t="s">
        <v>21</v>
      </c>
      <c r="B59" s="65">
        <v>11</v>
      </c>
      <c r="C59" s="164"/>
      <c r="D59" s="166">
        <f t="shared" si="71"/>
        <v>100</v>
      </c>
      <c r="E59" s="119">
        <f t="shared" si="72"/>
        <v>127.81131739919773</v>
      </c>
      <c r="F59" s="119">
        <f t="shared" si="73"/>
        <v>147.47734039610637</v>
      </c>
      <c r="G59" s="119">
        <f t="shared" si="74"/>
        <v>291.88399970508334</v>
      </c>
      <c r="H59" s="119">
        <f t="shared" si="75"/>
        <v>265.61903788149885</v>
      </c>
      <c r="I59" s="119">
        <f t="shared" si="76"/>
        <v>285.09106180665623</v>
      </c>
      <c r="J59" s="120">
        <f t="shared" si="77"/>
        <v>2.1173819608534483E-2</v>
      </c>
      <c r="K59" s="120">
        <f t="shared" si="78"/>
        <v>7.0652410657805476E-2</v>
      </c>
      <c r="L59" s="120">
        <f t="shared" si="79"/>
        <v>-1.868196146034673E-2</v>
      </c>
      <c r="M59" s="120">
        <f t="shared" si="80"/>
        <v>1.4249682543727271E-2</v>
      </c>
      <c r="N59" s="39"/>
      <c r="O59" s="188"/>
      <c r="P59" s="39"/>
      <c r="Q59" s="39"/>
      <c r="R59" s="39"/>
      <c r="S59" s="39"/>
      <c r="T59" s="39"/>
      <c r="U59" s="39"/>
      <c r="V59" s="40"/>
      <c r="W59" s="40"/>
      <c r="X59" s="40"/>
      <c r="Y59" s="40"/>
      <c r="Z59" s="40"/>
      <c r="AA59" s="40"/>
    </row>
    <row r="60" spans="1:27" s="36" customFormat="1" x14ac:dyDescent="0.25">
      <c r="A60" s="158" t="s">
        <v>22</v>
      </c>
      <c r="B60" s="65">
        <v>12</v>
      </c>
      <c r="C60" s="164"/>
      <c r="D60" s="166">
        <f t="shared" si="71"/>
        <v>100</v>
      </c>
      <c r="E60" s="119">
        <f t="shared" si="72"/>
        <v>175.41181180886304</v>
      </c>
      <c r="F60" s="119">
        <f t="shared" si="73"/>
        <v>130.16713494174152</v>
      </c>
      <c r="G60" s="119">
        <f t="shared" si="74"/>
        <v>112.81951146486342</v>
      </c>
      <c r="H60" s="119">
        <f t="shared" si="75"/>
        <v>118.15026547630825</v>
      </c>
      <c r="I60" s="119">
        <f t="shared" si="76"/>
        <v>156.50887950837389</v>
      </c>
      <c r="J60" s="120">
        <f t="shared" si="77"/>
        <v>8.9991018265715983E-3</v>
      </c>
      <c r="K60" s="120">
        <f t="shared" si="78"/>
        <v>-1.4201196062071486E-2</v>
      </c>
      <c r="L60" s="120">
        <f t="shared" si="79"/>
        <v>9.2763516059319873E-3</v>
      </c>
      <c r="M60" s="120">
        <f t="shared" si="80"/>
        <v>5.7842121931393597E-2</v>
      </c>
      <c r="N60" s="39"/>
      <c r="O60" s="188"/>
      <c r="P60" s="39"/>
      <c r="Q60" s="39"/>
      <c r="R60" s="39"/>
      <c r="S60" s="39"/>
      <c r="T60" s="39"/>
      <c r="U60" s="39"/>
      <c r="V60" s="40"/>
      <c r="W60" s="40"/>
      <c r="X60" s="40"/>
      <c r="Y60" s="40"/>
      <c r="Z60" s="40"/>
      <c r="AA60" s="40"/>
    </row>
    <row r="61" spans="1:27" s="36" customFormat="1" x14ac:dyDescent="0.25">
      <c r="A61" s="159" t="s">
        <v>61</v>
      </c>
      <c r="B61" s="65">
        <v>13</v>
      </c>
      <c r="C61" s="164" t="s">
        <v>16</v>
      </c>
      <c r="D61" s="166">
        <f t="shared" si="71"/>
        <v>100</v>
      </c>
      <c r="E61" s="119">
        <f t="shared" si="72"/>
        <v>163.25559528116511</v>
      </c>
      <c r="F61" s="119">
        <f t="shared" si="73"/>
        <v>155.4751755779528</v>
      </c>
      <c r="G61" s="119">
        <f t="shared" si="74"/>
        <v>167.57037530833793</v>
      </c>
      <c r="H61" s="119">
        <f t="shared" si="75"/>
        <v>157.81197644855595</v>
      </c>
      <c r="I61" s="119">
        <f t="shared" si="76"/>
        <v>181.83152099913033</v>
      </c>
      <c r="J61" s="120">
        <f t="shared" si="77"/>
        <v>1.202999248722425E-2</v>
      </c>
      <c r="K61" s="120">
        <f t="shared" si="78"/>
        <v>7.5198670323979311E-3</v>
      </c>
      <c r="L61" s="120">
        <f t="shared" si="79"/>
        <v>-1.192811169810537E-2</v>
      </c>
      <c r="M61" s="120">
        <f t="shared" si="80"/>
        <v>2.8740511386986745E-2</v>
      </c>
      <c r="N61" s="39"/>
      <c r="O61" s="188"/>
      <c r="P61" s="39"/>
      <c r="Q61" s="39"/>
      <c r="R61" s="39"/>
      <c r="S61" s="39"/>
      <c r="T61" s="39"/>
      <c r="U61" s="39"/>
      <c r="V61" s="40"/>
      <c r="W61" s="40"/>
      <c r="X61" s="40"/>
      <c r="Y61" s="40"/>
      <c r="Z61" s="40"/>
      <c r="AA61" s="40"/>
    </row>
    <row r="62" spans="1:27" s="36" customFormat="1" x14ac:dyDescent="0.25">
      <c r="A62" s="160" t="s">
        <v>23</v>
      </c>
      <c r="B62" s="65">
        <v>14</v>
      </c>
      <c r="C62" s="164" t="s">
        <v>16</v>
      </c>
      <c r="D62" s="166">
        <f t="shared" si="71"/>
        <v>100</v>
      </c>
      <c r="E62" s="119">
        <f t="shared" si="72"/>
        <v>144.37501944870485</v>
      </c>
      <c r="F62" s="119">
        <f t="shared" si="73"/>
        <v>124.65627293458634</v>
      </c>
      <c r="G62" s="119">
        <f t="shared" si="74"/>
        <v>109.98598859325423</v>
      </c>
      <c r="H62" s="119">
        <f t="shared" si="75"/>
        <v>121.68466103177155</v>
      </c>
      <c r="I62" s="119">
        <f t="shared" si="76"/>
        <v>141.5612513202974</v>
      </c>
      <c r="J62" s="120">
        <f t="shared" si="77"/>
        <v>6.975462168735902E-3</v>
      </c>
      <c r="K62" s="120">
        <f t="shared" si="78"/>
        <v>-1.2442657149476788E-2</v>
      </c>
      <c r="L62" s="120">
        <f t="shared" si="79"/>
        <v>2.0421721524299885E-2</v>
      </c>
      <c r="M62" s="120">
        <f t="shared" si="80"/>
        <v>3.0722392565659007E-2</v>
      </c>
      <c r="N62" s="39"/>
      <c r="O62" s="188"/>
      <c r="P62" s="39"/>
      <c r="Q62" s="39"/>
      <c r="R62" s="39"/>
      <c r="S62" s="39"/>
      <c r="T62" s="39"/>
      <c r="U62" s="39"/>
      <c r="V62" s="40"/>
      <c r="W62" s="40"/>
      <c r="X62" s="40"/>
      <c r="Y62" s="40"/>
      <c r="Z62" s="40"/>
      <c r="AA62" s="40"/>
    </row>
    <row r="63" spans="1:27" s="36" customFormat="1" x14ac:dyDescent="0.25">
      <c r="A63" s="157" t="s">
        <v>24</v>
      </c>
      <c r="B63" s="65">
        <v>15</v>
      </c>
      <c r="C63" s="164" t="s">
        <v>16</v>
      </c>
      <c r="D63" s="166">
        <f t="shared" si="71"/>
        <v>100</v>
      </c>
      <c r="E63" s="119">
        <f t="shared" si="72"/>
        <v>169.61106319937903</v>
      </c>
      <c r="F63" s="119">
        <f t="shared" si="73"/>
        <v>133.37160486307454</v>
      </c>
      <c r="G63" s="119">
        <f t="shared" si="74"/>
        <v>125.53283438793925</v>
      </c>
      <c r="H63" s="119">
        <f t="shared" si="75"/>
        <v>142.55958935577041</v>
      </c>
      <c r="I63" s="119">
        <f t="shared" si="76"/>
        <v>173.19434438400495</v>
      </c>
      <c r="J63" s="120">
        <f t="shared" si="77"/>
        <v>1.1045438475316027E-2</v>
      </c>
      <c r="K63" s="120">
        <f t="shared" si="78"/>
        <v>-6.0388822857853075E-3</v>
      </c>
      <c r="L63" s="120">
        <f t="shared" si="79"/>
        <v>2.5764867035757533E-2</v>
      </c>
      <c r="M63" s="120">
        <f t="shared" si="80"/>
        <v>3.9698587817398101E-2</v>
      </c>
      <c r="N63" s="39"/>
      <c r="O63" s="188"/>
      <c r="P63" s="39"/>
      <c r="Q63" s="39"/>
      <c r="R63" s="39"/>
      <c r="S63" s="39"/>
      <c r="T63" s="39"/>
      <c r="U63" s="39"/>
      <c r="V63" s="40"/>
      <c r="W63" s="40"/>
      <c r="X63" s="40"/>
      <c r="Y63" s="40"/>
      <c r="Z63" s="40"/>
      <c r="AA63" s="40"/>
    </row>
    <row r="64" spans="1:27" s="36" customFormat="1" x14ac:dyDescent="0.25">
      <c r="A64" s="161" t="s">
        <v>25</v>
      </c>
      <c r="B64" s="65">
        <v>16</v>
      </c>
      <c r="C64" s="164"/>
      <c r="D64" s="166">
        <f t="shared" si="71"/>
        <v>100</v>
      </c>
      <c r="E64" s="119">
        <f t="shared" si="72"/>
        <v>191.50447576775298</v>
      </c>
      <c r="F64" s="119">
        <f t="shared" si="73"/>
        <v>135.33453575513298</v>
      </c>
      <c r="G64" s="119">
        <f t="shared" si="74"/>
        <v>123.72875761423978</v>
      </c>
      <c r="H64" s="119">
        <f t="shared" si="75"/>
        <v>130.22242646907191</v>
      </c>
      <c r="I64" s="119">
        <f t="shared" si="76"/>
        <v>162.98253449557646</v>
      </c>
      <c r="J64" s="120">
        <f t="shared" si="77"/>
        <v>9.8173341051486229E-3</v>
      </c>
      <c r="K64" s="120">
        <f t="shared" si="78"/>
        <v>-8.9257295157698646E-3</v>
      </c>
      <c r="L64" s="120">
        <f t="shared" si="79"/>
        <v>1.0282955962180207E-2</v>
      </c>
      <c r="M64" s="120">
        <f t="shared" si="80"/>
        <v>4.5902152379368122E-2</v>
      </c>
      <c r="N64" s="39"/>
      <c r="O64" s="188"/>
      <c r="P64" s="39"/>
      <c r="Q64" s="39"/>
      <c r="R64" s="39"/>
      <c r="S64" s="39"/>
      <c r="T64" s="39"/>
      <c r="U64" s="39"/>
      <c r="V64" s="40"/>
      <c r="W64" s="40"/>
      <c r="X64" s="40"/>
      <c r="Y64" s="40"/>
      <c r="Z64" s="40"/>
      <c r="AA64" s="40"/>
    </row>
    <row r="65" spans="1:27" s="36" customFormat="1" x14ac:dyDescent="0.25">
      <c r="A65" s="161" t="s">
        <v>26</v>
      </c>
      <c r="B65" s="65">
        <v>17</v>
      </c>
      <c r="C65" s="164"/>
      <c r="D65" s="166">
        <f t="shared" si="71"/>
        <v>100</v>
      </c>
      <c r="E65" s="119">
        <f t="shared" si="72"/>
        <v>141.44399512417797</v>
      </c>
      <c r="F65" s="119">
        <f t="shared" si="73"/>
        <v>130.23484438842547</v>
      </c>
      <c r="G65" s="119">
        <f t="shared" si="74"/>
        <v>166.83603852888467</v>
      </c>
      <c r="H65" s="119">
        <f t="shared" si="75"/>
        <v>229.32720196462276</v>
      </c>
      <c r="I65" s="119">
        <f t="shared" si="76"/>
        <v>250.53505909630712</v>
      </c>
      <c r="J65" s="120">
        <f t="shared" si="77"/>
        <v>1.8538313573596588E-2</v>
      </c>
      <c r="K65" s="120">
        <f t="shared" si="78"/>
        <v>2.5076476361307609E-2</v>
      </c>
      <c r="L65" s="120">
        <f t="shared" si="79"/>
        <v>6.5695521330675355E-2</v>
      </c>
      <c r="M65" s="120">
        <f t="shared" si="80"/>
        <v>1.7847202190930833E-2</v>
      </c>
      <c r="N65" s="39"/>
      <c r="O65" s="188"/>
      <c r="P65" s="39"/>
      <c r="Q65" s="39"/>
      <c r="R65" s="39"/>
      <c r="S65" s="39"/>
      <c r="T65" s="39"/>
      <c r="U65" s="39"/>
      <c r="V65" s="40"/>
      <c r="W65" s="40"/>
      <c r="X65" s="40"/>
      <c r="Y65" s="40"/>
      <c r="Z65" s="40"/>
      <c r="AA65" s="40"/>
    </row>
    <row r="66" spans="1:27" s="36" customFormat="1" x14ac:dyDescent="0.25">
      <c r="A66" s="158" t="s">
        <v>27</v>
      </c>
      <c r="B66" s="65">
        <v>18</v>
      </c>
      <c r="C66" s="164" t="s">
        <v>16</v>
      </c>
      <c r="D66" s="166">
        <f t="shared" si="71"/>
        <v>100</v>
      </c>
      <c r="E66" s="119">
        <f t="shared" si="72"/>
        <v>176.3814836876501</v>
      </c>
      <c r="F66" s="119">
        <f t="shared" si="73"/>
        <v>134.36180744728225</v>
      </c>
      <c r="G66" s="119">
        <f t="shared" si="74"/>
        <v>136.63562265859483</v>
      </c>
      <c r="H66" s="119">
        <f t="shared" si="75"/>
        <v>155.16035054367282</v>
      </c>
      <c r="I66" s="119">
        <f t="shared" si="76"/>
        <v>190.85014663971509</v>
      </c>
      <c r="J66" s="120">
        <f t="shared" si="77"/>
        <v>1.3010273862160249E-2</v>
      </c>
      <c r="K66" s="120">
        <f t="shared" si="78"/>
        <v>1.6795565801646095E-3</v>
      </c>
      <c r="L66" s="120">
        <f t="shared" si="79"/>
        <v>2.5754338143789912E-2</v>
      </c>
      <c r="M66" s="120">
        <f t="shared" si="80"/>
        <v>4.2275067839449232E-2</v>
      </c>
      <c r="N66" s="39"/>
      <c r="O66" s="188"/>
      <c r="P66" s="39"/>
      <c r="Q66" s="39"/>
      <c r="R66" s="39"/>
      <c r="S66" s="39"/>
      <c r="T66" s="39"/>
      <c r="U66" s="39"/>
      <c r="V66" s="40"/>
      <c r="W66" s="40"/>
      <c r="X66" s="40"/>
      <c r="Y66" s="40"/>
      <c r="Z66" s="40"/>
      <c r="AA66" s="40"/>
    </row>
    <row r="67" spans="1:27" s="36" customFormat="1" x14ac:dyDescent="0.25">
      <c r="A67" s="157" t="s">
        <v>63</v>
      </c>
      <c r="B67" s="65">
        <v>21</v>
      </c>
      <c r="C67" s="164" t="s">
        <v>16</v>
      </c>
      <c r="D67" s="166">
        <f t="shared" ref="D67:I69" si="81">(V22/$V22)*100</f>
        <v>100</v>
      </c>
      <c r="E67" s="119">
        <f t="shared" si="81"/>
        <v>140.82753343762212</v>
      </c>
      <c r="F67" s="119">
        <f t="shared" si="81"/>
        <v>96.036163367551367</v>
      </c>
      <c r="G67" s="119">
        <f t="shared" si="81"/>
        <v>68.871717594979998</v>
      </c>
      <c r="H67" s="119">
        <f t="shared" si="81"/>
        <v>73.915715057772218</v>
      </c>
      <c r="I67" s="119">
        <f t="shared" si="81"/>
        <v>81.885719276049841</v>
      </c>
      <c r="J67" s="120">
        <f>EXP(LN(AA22/V22)/50)-1</f>
        <v>-3.9889345432660983E-3</v>
      </c>
      <c r="K67" s="120">
        <f>EXP(LN(Y22/X22)/10)-1</f>
        <v>-3.2701284131322006E-2</v>
      </c>
      <c r="L67" s="120">
        <f t="shared" ref="L67:M69" si="82">EXP(LN(Z22/Y22)/5)-1</f>
        <v>1.4236355168439463E-2</v>
      </c>
      <c r="M67" s="120">
        <f t="shared" si="82"/>
        <v>2.06909805923714E-2</v>
      </c>
      <c r="N67" s="39"/>
      <c r="O67" s="188"/>
      <c r="P67" s="39"/>
      <c r="Q67" s="39"/>
      <c r="R67" s="39"/>
      <c r="S67" s="39"/>
      <c r="T67" s="39"/>
      <c r="U67" s="39"/>
      <c r="V67" s="40"/>
      <c r="W67" s="40"/>
      <c r="X67" s="40"/>
      <c r="Y67" s="40"/>
      <c r="Z67" s="40"/>
      <c r="AA67" s="40"/>
    </row>
    <row r="68" spans="1:27" s="36" customFormat="1" x14ac:dyDescent="0.25">
      <c r="A68" s="158" t="s">
        <v>32</v>
      </c>
      <c r="B68" s="65">
        <v>22</v>
      </c>
      <c r="C68" s="164" t="s">
        <v>16</v>
      </c>
      <c r="D68" s="166">
        <f t="shared" si="81"/>
        <v>100</v>
      </c>
      <c r="E68" s="119">
        <f t="shared" si="81"/>
        <v>118.78036909991521</v>
      </c>
      <c r="F68" s="119">
        <f t="shared" si="81"/>
        <v>116.11802708258753</v>
      </c>
      <c r="G68" s="119">
        <f t="shared" si="81"/>
        <v>93.538274769745428</v>
      </c>
      <c r="H68" s="119">
        <f t="shared" si="81"/>
        <v>98.245327374736959</v>
      </c>
      <c r="I68" s="119">
        <f t="shared" si="81"/>
        <v>106.51176636941516</v>
      </c>
      <c r="J68" s="120">
        <f>EXP(LN(AA23/V23)/50)-1</f>
        <v>1.2625017932634819E-3</v>
      </c>
      <c r="K68" s="120">
        <f>EXP(LN(Y23/X23)/10)-1</f>
        <v>-2.1391529108856111E-2</v>
      </c>
      <c r="L68" s="120">
        <f t="shared" si="82"/>
        <v>9.8677650078096146E-3</v>
      </c>
      <c r="M68" s="120">
        <f t="shared" si="82"/>
        <v>1.6288793217861031E-2</v>
      </c>
      <c r="N68" s="39"/>
      <c r="O68" s="188"/>
      <c r="P68" s="39"/>
      <c r="Q68" s="39"/>
      <c r="R68" s="39"/>
      <c r="S68" s="39"/>
      <c r="T68" s="39"/>
      <c r="U68" s="39"/>
      <c r="V68" s="40"/>
      <c r="W68" s="40"/>
      <c r="X68" s="40"/>
      <c r="Y68" s="40"/>
      <c r="Z68" s="40"/>
      <c r="AA68" s="40"/>
    </row>
    <row r="69" spans="1:27" s="36" customFormat="1" x14ac:dyDescent="0.25">
      <c r="A69" s="157" t="s">
        <v>33</v>
      </c>
      <c r="B69" s="65">
        <v>23</v>
      </c>
      <c r="C69" s="164" t="s">
        <v>16</v>
      </c>
      <c r="D69" s="166">
        <f t="shared" si="81"/>
        <v>100</v>
      </c>
      <c r="E69" s="119">
        <f t="shared" si="81"/>
        <v>106.21826461344483</v>
      </c>
      <c r="F69" s="119">
        <f t="shared" si="81"/>
        <v>84.420153009556287</v>
      </c>
      <c r="G69" s="119">
        <f t="shared" si="81"/>
        <v>54.618267900394699</v>
      </c>
      <c r="H69" s="119">
        <f t="shared" si="81"/>
        <v>55.717041768749667</v>
      </c>
      <c r="I69" s="119">
        <f t="shared" si="81"/>
        <v>61.354277157344249</v>
      </c>
      <c r="J69" s="120">
        <f>EXP(LN(AA24/V24)/50)-1</f>
        <v>-9.7225335685751091E-3</v>
      </c>
      <c r="K69" s="120">
        <f>EXP(LN(Y24/X24)/10)-1</f>
        <v>-4.2609356516540409E-2</v>
      </c>
      <c r="L69" s="120">
        <f t="shared" si="82"/>
        <v>3.9914753570546857E-3</v>
      </c>
      <c r="M69" s="120">
        <f t="shared" si="82"/>
        <v>1.9462742929299059E-2</v>
      </c>
      <c r="N69" s="39"/>
      <c r="O69" s="188"/>
      <c r="P69" s="39"/>
      <c r="Q69" s="39"/>
      <c r="R69" s="39"/>
      <c r="S69" s="39"/>
      <c r="T69" s="39"/>
      <c r="U69" s="39"/>
      <c r="V69" s="40"/>
      <c r="W69" s="40"/>
      <c r="X69" s="40"/>
      <c r="Y69" s="40"/>
      <c r="Z69" s="40"/>
      <c r="AA69" s="40"/>
    </row>
    <row r="70" spans="1:27" s="36" customFormat="1" x14ac:dyDescent="0.25">
      <c r="A70" s="162" t="s">
        <v>35</v>
      </c>
      <c r="B70" s="65">
        <v>25</v>
      </c>
      <c r="C70" s="164" t="s">
        <v>16</v>
      </c>
      <c r="D70" s="166">
        <f t="shared" ref="D70:I71" si="83">(V26/$V26)*100</f>
        <v>100</v>
      </c>
      <c r="E70" s="119">
        <f t="shared" si="83"/>
        <v>107.49926035088177</v>
      </c>
      <c r="F70" s="119">
        <f t="shared" si="83"/>
        <v>131.7903980929367</v>
      </c>
      <c r="G70" s="119">
        <f t="shared" si="83"/>
        <v>162.56152085097602</v>
      </c>
      <c r="H70" s="119">
        <f t="shared" si="83"/>
        <v>183.55665622357091</v>
      </c>
      <c r="I70" s="119">
        <f t="shared" si="83"/>
        <v>191.62846323422718</v>
      </c>
      <c r="J70" s="120">
        <f>EXP(LN(AA26/V26)/50)-1</f>
        <v>1.309273346789519E-2</v>
      </c>
      <c r="K70" s="120">
        <f>EXP(LN(Y26/X26)/10)-1</f>
        <v>2.120609543952634E-2</v>
      </c>
      <c r="L70" s="120">
        <f>EXP(LN(Z26/Y26)/5)-1</f>
        <v>2.4590858664578219E-2</v>
      </c>
      <c r="M70" s="120">
        <f>EXP(LN(AA26/Z26)/5)-1</f>
        <v>8.6441541664816768E-3</v>
      </c>
      <c r="N70" s="39"/>
      <c r="O70" s="188"/>
      <c r="P70" s="39"/>
      <c r="Q70" s="39"/>
      <c r="R70" s="39"/>
      <c r="S70" s="39"/>
      <c r="T70" s="39"/>
      <c r="U70" s="39"/>
      <c r="V70" s="40"/>
      <c r="W70" s="40"/>
      <c r="X70" s="40"/>
      <c r="Y70" s="40"/>
      <c r="Z70" s="40"/>
      <c r="AA70" s="40"/>
    </row>
    <row r="71" spans="1:27" s="36" customFormat="1" x14ac:dyDescent="0.25">
      <c r="A71" s="165" t="s">
        <v>37</v>
      </c>
      <c r="B71" s="65">
        <v>26</v>
      </c>
      <c r="C71" s="164" t="s">
        <v>16</v>
      </c>
      <c r="D71" s="166">
        <f t="shared" si="83"/>
        <v>100</v>
      </c>
      <c r="E71" s="119">
        <f t="shared" si="83"/>
        <v>182.27954073629874</v>
      </c>
      <c r="F71" s="119">
        <f t="shared" si="83"/>
        <v>180.19940290387001</v>
      </c>
      <c r="G71" s="119">
        <f t="shared" si="83"/>
        <v>180.25549319135061</v>
      </c>
      <c r="H71" s="119">
        <f t="shared" si="83"/>
        <v>207.2641483121208</v>
      </c>
      <c r="I71" s="119">
        <f t="shared" si="83"/>
        <v>233.19618349135226</v>
      </c>
      <c r="J71" s="120">
        <f>EXP(LN(AA27/V27)/50)-1</f>
        <v>1.707839438236558E-2</v>
      </c>
      <c r="K71" s="120">
        <f>EXP(LN(Y27/X27)/10)-1</f>
        <v>3.1122429668517526E-5</v>
      </c>
      <c r="L71" s="120">
        <f>EXP(LN(Z27/Y27)/5)-1</f>
        <v>2.831728405902556E-2</v>
      </c>
      <c r="M71" s="120">
        <f>EXP(LN(AA27/Z27)/5)-1</f>
        <v>2.3857345615940106E-2</v>
      </c>
      <c r="N71" s="39"/>
      <c r="O71" s="188"/>
      <c r="P71" s="39"/>
      <c r="Q71" s="39"/>
      <c r="R71" s="39"/>
      <c r="S71" s="39"/>
      <c r="T71" s="39"/>
      <c r="U71" s="39"/>
      <c r="V71" s="40"/>
      <c r="W71" s="40"/>
      <c r="X71" s="40"/>
      <c r="Y71" s="40"/>
      <c r="Z71" s="40"/>
      <c r="AA71" s="40"/>
    </row>
    <row r="72" spans="1:27" s="36" customFormat="1" x14ac:dyDescent="0.25">
      <c r="B72" s="37"/>
      <c r="C72" s="38"/>
      <c r="D72" s="82"/>
      <c r="E72" s="39"/>
      <c r="F72" s="39"/>
      <c r="G72" s="39"/>
      <c r="H72" s="39"/>
      <c r="I72" s="39"/>
      <c r="J72" s="39"/>
      <c r="K72" s="192">
        <f>+K55+K57+K58+K59+K60+K64+K65+K67+K69+K70</f>
        <v>9.91118563055704E-2</v>
      </c>
      <c r="L72" s="192">
        <f>+L55+L57+L58+L59+L60+L64+L65+L67+L69+L70</f>
        <v>0.27335150428456279</v>
      </c>
      <c r="M72" s="192">
        <f>+M55+M57+M58+M59+M60+M64+M65+M67+M69+M70</f>
        <v>0.22961972652077112</v>
      </c>
      <c r="N72" s="39"/>
      <c r="O72" s="188"/>
      <c r="P72" s="39"/>
      <c r="Q72" s="39"/>
      <c r="R72" s="39"/>
      <c r="S72" s="39"/>
      <c r="T72" s="39"/>
      <c r="U72" s="39"/>
      <c r="V72" s="40"/>
      <c r="W72" s="40"/>
      <c r="X72" s="40"/>
      <c r="Y72" s="40"/>
      <c r="Z72" s="40"/>
      <c r="AA72" s="40"/>
    </row>
    <row r="73" spans="1:27" x14ac:dyDescent="0.25">
      <c r="O73" s="188"/>
    </row>
    <row r="74" spans="1:27" x14ac:dyDescent="0.25">
      <c r="O74" s="188"/>
    </row>
    <row r="75" spans="1:27" x14ac:dyDescent="0.25">
      <c r="O75" s="188"/>
    </row>
    <row r="76" spans="1:27" x14ac:dyDescent="0.25">
      <c r="O76" s="188"/>
    </row>
    <row r="77" spans="1:27" x14ac:dyDescent="0.25">
      <c r="O77" s="188"/>
    </row>
    <row r="78" spans="1:27" x14ac:dyDescent="0.25">
      <c r="O78" s="188"/>
    </row>
    <row r="79" spans="1:27" x14ac:dyDescent="0.25">
      <c r="O79" s="188"/>
    </row>
    <row r="80" spans="1:27" x14ac:dyDescent="0.25">
      <c r="O80" s="188"/>
    </row>
    <row r="81" spans="15:15" x14ac:dyDescent="0.25">
      <c r="O81" s="188"/>
    </row>
    <row r="82" spans="15:15" x14ac:dyDescent="0.25">
      <c r="O82" s="188"/>
    </row>
    <row r="83" spans="15:15" x14ac:dyDescent="0.25">
      <c r="O83" s="188"/>
    </row>
    <row r="84" spans="15:15" x14ac:dyDescent="0.25">
      <c r="O84" s="188"/>
    </row>
    <row r="85" spans="15:15" x14ac:dyDescent="0.25">
      <c r="O85" s="188"/>
    </row>
    <row r="86" spans="15:15" x14ac:dyDescent="0.25">
      <c r="O86" s="188"/>
    </row>
    <row r="87" spans="15:15" x14ac:dyDescent="0.25">
      <c r="O87" s="188"/>
    </row>
    <row r="88" spans="15:15" x14ac:dyDescent="0.25">
      <c r="O88" s="188"/>
    </row>
    <row r="89" spans="15:15" x14ac:dyDescent="0.25">
      <c r="O89" s="188"/>
    </row>
    <row r="90" spans="15:15" x14ac:dyDescent="0.25">
      <c r="O90" s="188"/>
    </row>
    <row r="91" spans="15:15" x14ac:dyDescent="0.25">
      <c r="O91" s="188"/>
    </row>
    <row r="92" spans="15:15" x14ac:dyDescent="0.25">
      <c r="O92" s="188"/>
    </row>
    <row r="93" spans="15:15" x14ac:dyDescent="0.25">
      <c r="O93" s="188"/>
    </row>
    <row r="94" spans="15:15" x14ac:dyDescent="0.25">
      <c r="O94" s="188"/>
    </row>
    <row r="95" spans="15:15" x14ac:dyDescent="0.25">
      <c r="O95" s="188"/>
    </row>
    <row r="96" spans="15:15" x14ac:dyDescent="0.25">
      <c r="O96" s="188"/>
    </row>
    <row r="97" spans="15:15" x14ac:dyDescent="0.25">
      <c r="O97" s="188"/>
    </row>
    <row r="98" spans="15:15" x14ac:dyDescent="0.25">
      <c r="O98" s="188"/>
    </row>
    <row r="99" spans="15:15" x14ac:dyDescent="0.25">
      <c r="O99" s="188"/>
    </row>
    <row r="100" spans="15:15" x14ac:dyDescent="0.25">
      <c r="O100" s="188"/>
    </row>
    <row r="101" spans="15:15" x14ac:dyDescent="0.25">
      <c r="O101" s="188"/>
    </row>
    <row r="102" spans="15:15" x14ac:dyDescent="0.25">
      <c r="O102" s="188"/>
    </row>
    <row r="103" spans="15:15" x14ac:dyDescent="0.25">
      <c r="O103" s="188"/>
    </row>
    <row r="104" spans="15:15" x14ac:dyDescent="0.25">
      <c r="O104" s="188"/>
    </row>
    <row r="105" spans="15:15" x14ac:dyDescent="0.25">
      <c r="O105" s="188"/>
    </row>
    <row r="106" spans="15:15" x14ac:dyDescent="0.25">
      <c r="O106" s="188"/>
    </row>
    <row r="107" spans="15:15" x14ac:dyDescent="0.25">
      <c r="O107" s="188"/>
    </row>
    <row r="108" spans="15:15" x14ac:dyDescent="0.25">
      <c r="O108" s="188"/>
    </row>
    <row r="109" spans="15:15" x14ac:dyDescent="0.25">
      <c r="O109" s="188"/>
    </row>
    <row r="110" spans="15:15" x14ac:dyDescent="0.25">
      <c r="O110" s="188"/>
    </row>
    <row r="111" spans="15:15" x14ac:dyDescent="0.25">
      <c r="O111" s="188"/>
    </row>
  </sheetData>
  <autoFilter ref="A7:AG71"/>
  <mergeCells count="18">
    <mergeCell ref="D2:I2"/>
    <mergeCell ref="J2:O2"/>
    <mergeCell ref="P2:U2"/>
    <mergeCell ref="V2:AA2"/>
    <mergeCell ref="D4:I4"/>
    <mergeCell ref="V4:AA4"/>
    <mergeCell ref="V5:AA5"/>
    <mergeCell ref="A5:A6"/>
    <mergeCell ref="B5:B6"/>
    <mergeCell ref="C5:C6"/>
    <mergeCell ref="D5:I5"/>
    <mergeCell ref="J5:O5"/>
    <mergeCell ref="P5:U5"/>
    <mergeCell ref="J32:O32"/>
    <mergeCell ref="P32:U32"/>
    <mergeCell ref="D53:I53"/>
    <mergeCell ref="J53:M53"/>
    <mergeCell ref="D32:I3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0"/>
  <sheetViews>
    <sheetView showGridLines="0" workbookViewId="0">
      <selection activeCell="A3" sqref="A3"/>
    </sheetView>
  </sheetViews>
  <sheetFormatPr defaultRowHeight="12" x14ac:dyDescent="0.25"/>
  <cols>
    <col min="1" max="1" width="24.140625" customWidth="1"/>
  </cols>
  <sheetData>
    <row r="1" spans="1:16" ht="14.4" x14ac:dyDescent="0.25">
      <c r="A1" s="79" t="s">
        <v>39</v>
      </c>
      <c r="B1" s="46"/>
      <c r="C1" s="46"/>
      <c r="D1" s="46"/>
      <c r="E1" s="46"/>
      <c r="F1" s="46"/>
      <c r="G1" s="46"/>
      <c r="H1" s="4"/>
      <c r="I1" s="4"/>
      <c r="J1" s="4"/>
      <c r="K1" s="6"/>
      <c r="L1" s="4"/>
      <c r="M1" s="4"/>
      <c r="N1" s="4"/>
      <c r="O1" s="4"/>
      <c r="P1" s="4"/>
    </row>
    <row r="2" spans="1:16" x14ac:dyDescent="0.25">
      <c r="A2" s="284" t="s">
        <v>116</v>
      </c>
      <c r="B2" s="4"/>
      <c r="C2" s="4"/>
      <c r="D2" s="4"/>
      <c r="E2" s="4"/>
      <c r="F2" s="4"/>
      <c r="G2" s="4"/>
      <c r="H2" s="4"/>
      <c r="I2" s="4"/>
      <c r="J2" s="4"/>
      <c r="K2" s="6"/>
      <c r="L2" s="4"/>
      <c r="M2" s="4"/>
      <c r="N2" s="4"/>
      <c r="O2" s="4"/>
      <c r="P2" s="4"/>
    </row>
    <row r="3" spans="1:16" x14ac:dyDescent="0.25">
      <c r="A3" s="284"/>
      <c r="B3" s="4"/>
      <c r="C3" s="4"/>
      <c r="D3" s="4"/>
      <c r="E3" s="4"/>
      <c r="F3" s="4"/>
      <c r="G3" s="4"/>
      <c r="H3" s="4"/>
      <c r="I3" s="4"/>
      <c r="J3" s="4"/>
      <c r="K3" s="6"/>
      <c r="L3" s="4"/>
      <c r="M3" s="4"/>
      <c r="N3" s="4"/>
      <c r="O3" s="4"/>
      <c r="P3" s="4"/>
    </row>
    <row r="4" spans="1:16" ht="40.799999999999997" x14ac:dyDescent="0.25">
      <c r="A4" s="87" t="s">
        <v>11</v>
      </c>
      <c r="B4" s="47" t="s">
        <v>42</v>
      </c>
      <c r="C4" s="48" t="s">
        <v>10</v>
      </c>
      <c r="D4" s="271" t="s">
        <v>43</v>
      </c>
      <c r="E4" s="272"/>
      <c r="F4" s="271" t="s">
        <v>44</v>
      </c>
      <c r="G4" s="272"/>
      <c r="H4" s="49"/>
      <c r="I4" s="49"/>
      <c r="J4" s="49"/>
      <c r="K4" s="50"/>
      <c r="L4" s="49"/>
      <c r="M4" s="49"/>
      <c r="N4" s="49"/>
      <c r="O4" s="49"/>
      <c r="P4" s="49"/>
    </row>
    <row r="5" spans="1:16" ht="24" x14ac:dyDescent="0.25">
      <c r="A5" s="51"/>
      <c r="B5" s="88" t="s">
        <v>11</v>
      </c>
      <c r="C5" s="52" t="s">
        <v>45</v>
      </c>
      <c r="D5" s="53" t="s">
        <v>8</v>
      </c>
      <c r="E5" s="53" t="s">
        <v>45</v>
      </c>
      <c r="F5" s="53" t="s">
        <v>8</v>
      </c>
      <c r="G5" s="53" t="s">
        <v>45</v>
      </c>
      <c r="H5" s="54"/>
      <c r="I5" s="54"/>
      <c r="J5" s="54"/>
      <c r="K5" s="55"/>
      <c r="L5" s="54"/>
      <c r="M5" s="54"/>
      <c r="N5" s="54"/>
      <c r="O5" s="54"/>
      <c r="P5" s="54"/>
    </row>
    <row r="6" spans="1:16" x14ac:dyDescent="0.25">
      <c r="A6" s="83" t="s">
        <v>14</v>
      </c>
      <c r="B6" s="56">
        <f>+G6-F6</f>
        <v>-2.8384355124553053</v>
      </c>
      <c r="C6" s="56">
        <f>+'GVA-productivity1'!S$34</f>
        <v>0.17236423833133088</v>
      </c>
      <c r="D6" s="34">
        <f>+'GVA-productivity1'!R$8</f>
        <v>2410.2538847146852</v>
      </c>
      <c r="E6" s="34">
        <f>+'GVA-productivity1'!S$8</f>
        <v>2495.3574907631169</v>
      </c>
      <c r="F6" s="56">
        <f>(+D6/D$16)*100</f>
        <v>21.500041629265816</v>
      </c>
      <c r="G6" s="56">
        <f>(+E6/E$16)*100</f>
        <v>18.661606116810511</v>
      </c>
      <c r="H6" s="4"/>
      <c r="I6" s="4"/>
      <c r="J6" s="4"/>
      <c r="K6" s="6"/>
      <c r="L6" s="4"/>
      <c r="M6" s="4"/>
      <c r="N6" s="4"/>
      <c r="O6" s="4"/>
      <c r="P6" s="4"/>
    </row>
    <row r="7" spans="1:16" x14ac:dyDescent="0.25">
      <c r="A7" s="83" t="s">
        <v>19</v>
      </c>
      <c r="B7" s="56">
        <f t="shared" ref="B7:B16" si="0">+G7-F7</f>
        <v>-5.2709122538620861</v>
      </c>
      <c r="C7" s="56">
        <f>+'GVA-productivity1'!S$36</f>
        <v>2.632884928042587</v>
      </c>
      <c r="D7" s="34">
        <f>+'GVA-productivity1'!R$10</f>
        <v>981.4336491660797</v>
      </c>
      <c r="E7" s="34">
        <f>+'GVA-productivity1'!S$10</f>
        <v>465.82828282828285</v>
      </c>
      <c r="F7" s="56">
        <f t="shared" ref="F7:F16" si="1">(+D7/D$16)*100</f>
        <v>8.7546230906420863</v>
      </c>
      <c r="G7" s="56">
        <f t="shared" ref="G7:G16" si="2">(+E7/E$16)*100</f>
        <v>3.4837108367800003</v>
      </c>
      <c r="H7" s="4"/>
      <c r="I7" s="4"/>
      <c r="J7" s="4"/>
      <c r="K7" s="6"/>
      <c r="L7" s="4"/>
      <c r="M7" s="4"/>
      <c r="N7" s="4"/>
      <c r="O7" s="4"/>
      <c r="P7" s="4"/>
    </row>
    <row r="8" spans="1:16" x14ac:dyDescent="0.25">
      <c r="A8" s="83" t="s">
        <v>20</v>
      </c>
      <c r="B8" s="56">
        <f t="shared" si="0"/>
        <v>-1.0677487017241507</v>
      </c>
      <c r="C8" s="56">
        <f>+'GVA-productivity1'!S$37</f>
        <v>1.5124931230137668</v>
      </c>
      <c r="D8" s="34">
        <f>+'GVA-productivity1'!R$11</f>
        <v>1646.8714099584295</v>
      </c>
      <c r="E8" s="34">
        <f>+'GVA-productivity1'!S$11</f>
        <v>1821.5796847635729</v>
      </c>
      <c r="F8" s="56">
        <f t="shared" si="1"/>
        <v>14.690487212447884</v>
      </c>
      <c r="G8" s="56">
        <f t="shared" si="2"/>
        <v>13.622738510723734</v>
      </c>
      <c r="H8" s="4"/>
      <c r="I8" s="4"/>
      <c r="J8" s="4"/>
      <c r="K8" s="6"/>
      <c r="L8" s="4"/>
      <c r="M8" s="4"/>
      <c r="N8" s="4"/>
      <c r="O8" s="4"/>
      <c r="P8" s="4"/>
    </row>
    <row r="9" spans="1:16" x14ac:dyDescent="0.25">
      <c r="A9" s="83" t="s">
        <v>21</v>
      </c>
      <c r="B9" s="56">
        <f t="shared" si="0"/>
        <v>-0.46883919516301431</v>
      </c>
      <c r="C9" s="56">
        <f>+'GVA-productivity1'!S$38</f>
        <v>4.8261558308055452</v>
      </c>
      <c r="D9" s="34">
        <f>+'GVA-productivity1'!R$12</f>
        <v>114.00303461641255</v>
      </c>
      <c r="E9" s="34">
        <f>+'GVA-productivity1'!S$12</f>
        <v>73.289156626506028</v>
      </c>
      <c r="F9" s="56">
        <f t="shared" si="1"/>
        <v>1.0169343593468154</v>
      </c>
      <c r="G9" s="56">
        <f t="shared" si="2"/>
        <v>0.54809516418380111</v>
      </c>
      <c r="H9" s="4"/>
      <c r="I9" s="4"/>
      <c r="J9" s="4"/>
      <c r="K9" s="6"/>
      <c r="L9" s="4"/>
      <c r="M9" s="4"/>
      <c r="N9" s="4"/>
      <c r="O9" s="4"/>
      <c r="P9" s="4"/>
    </row>
    <row r="10" spans="1:16" x14ac:dyDescent="0.25">
      <c r="A10" s="83" t="s">
        <v>22</v>
      </c>
      <c r="B10" s="56">
        <f t="shared" si="0"/>
        <v>-0.63117605141288635</v>
      </c>
      <c r="C10" s="56">
        <f>+'GVA-productivity1'!S$39</f>
        <v>0.48619680038528096</v>
      </c>
      <c r="D10" s="34">
        <f>+'GVA-productivity1'!R$13</f>
        <v>634.24450935104005</v>
      </c>
      <c r="E10" s="34">
        <f>+'GVA-productivity1'!S$13</f>
        <v>672.11560693641627</v>
      </c>
      <c r="F10" s="56">
        <f t="shared" si="1"/>
        <v>5.6576128517659594</v>
      </c>
      <c r="G10" s="56">
        <f t="shared" si="2"/>
        <v>5.0264368003530731</v>
      </c>
      <c r="H10" s="4"/>
      <c r="I10" s="4"/>
      <c r="J10" s="4"/>
      <c r="K10" s="6"/>
      <c r="L10" s="4"/>
      <c r="M10" s="4"/>
      <c r="N10" s="4"/>
      <c r="O10" s="4"/>
      <c r="P10" s="4"/>
    </row>
    <row r="11" spans="1:16" x14ac:dyDescent="0.25">
      <c r="A11" s="84" t="s">
        <v>25</v>
      </c>
      <c r="B11" s="56">
        <f t="shared" si="0"/>
        <v>3.1319913939712301</v>
      </c>
      <c r="C11" s="56">
        <f>+'GVA-productivity1'!S$43</f>
        <v>0.72095267975985533</v>
      </c>
      <c r="D11" s="34">
        <f>+'GVA-productivity1'!R$17</f>
        <v>1973.4221135352877</v>
      </c>
      <c r="E11" s="34">
        <f>+'GVA-productivity1'!S$17</f>
        <v>2772.6556907659265</v>
      </c>
      <c r="F11" s="56">
        <f t="shared" si="1"/>
        <v>17.603397659556069</v>
      </c>
      <c r="G11" s="56">
        <f t="shared" si="2"/>
        <v>20.7353890535273</v>
      </c>
      <c r="H11" s="4"/>
      <c r="I11" s="4"/>
      <c r="J11" s="4"/>
      <c r="K11" s="6"/>
      <c r="L11" s="4"/>
      <c r="M11" s="4"/>
      <c r="N11" s="4"/>
      <c r="O11" s="4"/>
      <c r="P11" s="4"/>
    </row>
    <row r="12" spans="1:16" x14ac:dyDescent="0.25">
      <c r="A12" s="84" t="s">
        <v>26</v>
      </c>
      <c r="B12" s="56">
        <f t="shared" si="0"/>
        <v>0.30203997999501109</v>
      </c>
      <c r="C12" s="56">
        <f>+'GVA-productivity1'!S$44</f>
        <v>1.780819423487308</v>
      </c>
      <c r="D12" s="34">
        <f>+'GVA-productivity1'!R$18</f>
        <v>565.15814716773843</v>
      </c>
      <c r="E12" s="34">
        <f>+'GVA-productivity1'!S$18</f>
        <v>714.49681528662427</v>
      </c>
      <c r="F12" s="56">
        <f t="shared" si="1"/>
        <v>5.0413459628812021</v>
      </c>
      <c r="G12" s="56">
        <f t="shared" si="2"/>
        <v>5.3433859428762132</v>
      </c>
      <c r="H12" s="4"/>
      <c r="I12" s="4"/>
      <c r="J12" s="4"/>
      <c r="K12" s="6"/>
      <c r="L12" s="4"/>
      <c r="M12" s="4"/>
      <c r="N12" s="4"/>
      <c r="O12" s="4"/>
      <c r="P12" s="4"/>
    </row>
    <row r="13" spans="1:16" x14ac:dyDescent="0.25">
      <c r="A13" s="84" t="s">
        <v>46</v>
      </c>
      <c r="B13" s="56">
        <f t="shared" si="0"/>
        <v>2.7026702703841092</v>
      </c>
      <c r="C13" s="56">
        <f>+'GVA-productivity1'!S$46</f>
        <v>1.7122226306875579</v>
      </c>
      <c r="D13" s="34">
        <f>+'GVA-productivity1'!R$20</f>
        <v>545.76615643363277</v>
      </c>
      <c r="E13" s="34">
        <f>+'GVA-productivity1'!S$20</f>
        <v>1012.3693998309386</v>
      </c>
      <c r="F13" s="56">
        <f t="shared" si="1"/>
        <v>4.8683647633894465</v>
      </c>
      <c r="G13" s="56">
        <f t="shared" si="2"/>
        <v>7.5710350337735557</v>
      </c>
      <c r="H13" s="4"/>
      <c r="I13" s="4"/>
      <c r="J13" s="4"/>
      <c r="K13" s="6"/>
      <c r="L13" s="4"/>
      <c r="M13" s="4"/>
      <c r="N13" s="4"/>
      <c r="O13" s="4"/>
      <c r="P13" s="4"/>
    </row>
    <row r="14" spans="1:16" x14ac:dyDescent="0.25">
      <c r="A14" s="83" t="s">
        <v>47</v>
      </c>
      <c r="B14" s="56">
        <f t="shared" si="0"/>
        <v>3.9502210427386562</v>
      </c>
      <c r="C14" s="56">
        <f>+'GVA-productivity1'!S$48</f>
        <v>1.2116350352940328</v>
      </c>
      <c r="D14" s="34">
        <f>+'GVA-productivity1'!R$24</f>
        <v>1195.3410097224478</v>
      </c>
      <c r="E14" s="34">
        <f>+'GVA-productivity1'!S$24</f>
        <v>1953.9867849653815</v>
      </c>
      <c r="F14" s="56">
        <f t="shared" si="1"/>
        <v>10.662727952928284</v>
      </c>
      <c r="G14" s="56">
        <f t="shared" si="2"/>
        <v>14.61294899566694</v>
      </c>
      <c r="H14" s="4"/>
      <c r="I14" s="4"/>
      <c r="J14" s="4"/>
      <c r="K14" s="6"/>
      <c r="L14" s="4"/>
      <c r="M14" s="4"/>
      <c r="N14" s="4"/>
      <c r="O14" s="4"/>
      <c r="P14" s="4"/>
    </row>
    <row r="15" spans="1:16" x14ac:dyDescent="0.25">
      <c r="A15" s="84" t="s">
        <v>34</v>
      </c>
      <c r="B15" s="56">
        <f t="shared" si="0"/>
        <v>0.19018902752840106</v>
      </c>
      <c r="C15" s="56">
        <f>+'GVA-productivity1'!S$49</f>
        <v>0.65265955628992112</v>
      </c>
      <c r="D15" s="34">
        <f>+'GVA-productivity1'!R$25</f>
        <v>1143.9675638546078</v>
      </c>
      <c r="E15" s="34">
        <f>+'GVA-productivity1'!S$25</f>
        <v>1389.9327006370786</v>
      </c>
      <c r="F15" s="56">
        <f t="shared" si="1"/>
        <v>10.204464517776454</v>
      </c>
      <c r="G15" s="56">
        <f t="shared" si="2"/>
        <v>10.394653545304855</v>
      </c>
      <c r="H15" s="4"/>
      <c r="I15" s="4"/>
      <c r="J15" s="4"/>
      <c r="K15" s="6"/>
      <c r="L15" s="4"/>
      <c r="M15" s="4"/>
      <c r="N15" s="4"/>
      <c r="O15" s="4"/>
      <c r="P15" s="4"/>
    </row>
    <row r="16" spans="1:16" x14ac:dyDescent="0.25">
      <c r="A16" s="85" t="s">
        <v>48</v>
      </c>
      <c r="B16" s="57">
        <f t="shared" si="0"/>
        <v>0</v>
      </c>
      <c r="C16" s="58">
        <f>+'GVA-productivity1'!S51</f>
        <v>15.708384246097188</v>
      </c>
      <c r="D16" s="34">
        <f>+'GVA-productivity1'!R$27</f>
        <v>11210.461478520359</v>
      </c>
      <c r="E16" s="34">
        <f>+'GVA-productivity1'!S$27</f>
        <v>13371.611613403846</v>
      </c>
      <c r="F16" s="56">
        <f t="shared" si="1"/>
        <v>100</v>
      </c>
      <c r="G16" s="56">
        <f t="shared" si="2"/>
        <v>100</v>
      </c>
      <c r="H16" s="9"/>
      <c r="I16" s="9"/>
      <c r="J16" s="9"/>
      <c r="K16" s="10"/>
      <c r="L16" s="9"/>
      <c r="M16" s="9"/>
      <c r="N16" s="9"/>
      <c r="O16" s="9"/>
      <c r="P16" s="9"/>
    </row>
    <row r="17" spans="1:16" x14ac:dyDescent="0.25">
      <c r="A17" s="59" t="s">
        <v>49</v>
      </c>
      <c r="B17" s="61">
        <f t="shared" ref="B17:G17" si="3">SUM(B6:B15)</f>
        <v>-3.4638958368304884E-14</v>
      </c>
      <c r="C17" s="61">
        <f t="shared" si="3"/>
        <v>15.708384246097188</v>
      </c>
      <c r="D17" s="62">
        <f t="shared" si="3"/>
        <v>11210.461478520359</v>
      </c>
      <c r="E17" s="62">
        <f t="shared" si="3"/>
        <v>13371.611613403844</v>
      </c>
      <c r="F17" s="63">
        <f t="shared" si="3"/>
        <v>100.00000000000003</v>
      </c>
      <c r="G17" s="63">
        <f t="shared" si="3"/>
        <v>99.999999999999972</v>
      </c>
      <c r="H17" s="36"/>
      <c r="I17" s="36"/>
      <c r="J17" s="36"/>
      <c r="K17" s="42"/>
      <c r="L17" s="36"/>
      <c r="M17" s="36"/>
      <c r="N17" s="36"/>
      <c r="O17" s="36"/>
      <c r="P17" s="36"/>
    </row>
    <row r="18" spans="1:16" x14ac:dyDescent="0.25">
      <c r="A18" s="59"/>
      <c r="B18" s="61"/>
      <c r="C18" s="61"/>
      <c r="D18" s="62"/>
      <c r="E18" s="62"/>
      <c r="F18" s="63"/>
      <c r="G18" s="63"/>
      <c r="H18" s="36"/>
      <c r="I18" s="36"/>
      <c r="J18" s="36"/>
      <c r="K18" s="42"/>
      <c r="L18" s="36"/>
      <c r="M18" s="36"/>
      <c r="N18" s="36"/>
      <c r="O18" s="36"/>
      <c r="P18" s="36"/>
    </row>
    <row r="19" spans="1:16" x14ac:dyDescent="0.25">
      <c r="A19" s="4"/>
      <c r="B19" s="71"/>
      <c r="C19" s="4"/>
      <c r="D19" s="74"/>
      <c r="E19" s="4"/>
      <c r="F19" s="4"/>
      <c r="G19" s="4"/>
      <c r="H19" s="4"/>
      <c r="I19" s="4"/>
      <c r="J19" s="4"/>
      <c r="K19" s="6"/>
      <c r="L19" s="4"/>
      <c r="M19" s="4"/>
      <c r="N19" s="4"/>
      <c r="O19" s="4"/>
      <c r="P19" s="4"/>
    </row>
    <row r="20" spans="1:16" ht="40.799999999999997" x14ac:dyDescent="0.25">
      <c r="A20" s="87" t="s">
        <v>12</v>
      </c>
      <c r="B20" s="47" t="s">
        <v>42</v>
      </c>
      <c r="C20" s="48" t="s">
        <v>10</v>
      </c>
      <c r="D20" s="272" t="s">
        <v>43</v>
      </c>
      <c r="E20" s="272"/>
      <c r="F20" s="272" t="s">
        <v>44</v>
      </c>
      <c r="G20" s="272"/>
      <c r="H20" s="4"/>
      <c r="I20" s="4"/>
      <c r="J20" s="4"/>
      <c r="K20" s="6"/>
      <c r="L20" s="4"/>
      <c r="M20" s="4"/>
      <c r="N20" s="4"/>
      <c r="O20" s="4"/>
      <c r="P20" s="4"/>
    </row>
    <row r="21" spans="1:16" x14ac:dyDescent="0.25">
      <c r="A21" s="51"/>
      <c r="B21" s="52" t="s">
        <v>12</v>
      </c>
      <c r="C21" s="52">
        <v>2005</v>
      </c>
      <c r="D21" s="53">
        <v>2000</v>
      </c>
      <c r="E21" s="53">
        <v>2005</v>
      </c>
      <c r="F21" s="53">
        <v>2000</v>
      </c>
      <c r="G21" s="53">
        <v>2005</v>
      </c>
      <c r="H21" s="4"/>
      <c r="I21" s="4"/>
      <c r="J21" s="4"/>
      <c r="K21" s="6"/>
      <c r="L21" s="4"/>
      <c r="M21" s="4"/>
      <c r="N21" s="4"/>
      <c r="O21" s="4"/>
      <c r="P21" s="4"/>
    </row>
    <row r="22" spans="1:16" x14ac:dyDescent="0.25">
      <c r="A22" s="83" t="s">
        <v>14</v>
      </c>
      <c r="B22" s="56">
        <f>+G22-F22</f>
        <v>-4.3670264976862647</v>
      </c>
      <c r="C22" s="56">
        <f>+'GVA-productivity1'!T$34</f>
        <v>0.20061074936114304</v>
      </c>
      <c r="D22" s="34">
        <f>+'GVA-productivity1'!S$8</f>
        <v>2495.3574907631169</v>
      </c>
      <c r="E22" s="34">
        <f>+'GVA-productivity1'!T$8</f>
        <v>2006.2849872773538</v>
      </c>
      <c r="F22" s="56">
        <f>(+D22/D$32)*100</f>
        <v>18.661606116810511</v>
      </c>
      <c r="G22" s="56">
        <f>(+E22/E$32)*100</f>
        <v>14.294579619124246</v>
      </c>
      <c r="H22" s="4"/>
      <c r="I22" s="4"/>
      <c r="J22" s="4"/>
      <c r="K22" s="6"/>
      <c r="L22" s="4"/>
      <c r="M22" s="4"/>
      <c r="N22" s="4"/>
      <c r="O22" s="4"/>
      <c r="P22" s="4"/>
    </row>
    <row r="23" spans="1:16" x14ac:dyDescent="0.25">
      <c r="A23" s="83" t="s">
        <v>19</v>
      </c>
      <c r="B23" s="56">
        <f t="shared" ref="B23:B31" si="4">+G23-F23</f>
        <v>-1.0398701857998374</v>
      </c>
      <c r="C23" s="56">
        <f>+'GVA-productivity1'!T$36</f>
        <v>3.325301013873895</v>
      </c>
      <c r="D23" s="34">
        <f>+'GVA-productivity1'!S$10</f>
        <v>465.82828282828285</v>
      </c>
      <c r="E23" s="34">
        <f>+'GVA-productivity1'!T$10</f>
        <v>343</v>
      </c>
      <c r="F23" s="56">
        <f t="shared" ref="F23:G32" si="5">(+D23/D$32)*100</f>
        <v>3.4837108367800003</v>
      </c>
      <c r="G23" s="56">
        <f t="shared" si="5"/>
        <v>2.4438406509801629</v>
      </c>
      <c r="H23" s="4"/>
      <c r="I23" s="4"/>
      <c r="J23" s="4"/>
      <c r="K23" s="6"/>
      <c r="L23" s="4"/>
      <c r="M23" s="4"/>
      <c r="N23" s="4"/>
      <c r="O23" s="4"/>
      <c r="P23" s="4"/>
    </row>
    <row r="24" spans="1:16" x14ac:dyDescent="0.25">
      <c r="A24" s="83" t="s">
        <v>20</v>
      </c>
      <c r="B24" s="56">
        <f t="shared" si="4"/>
        <v>-0.37042477654559214</v>
      </c>
      <c r="C24" s="56">
        <f>+'GVA-productivity1'!T$37</f>
        <v>1.499022469197</v>
      </c>
      <c r="D24" s="34">
        <f>+'GVA-productivity1'!S$11</f>
        <v>1821.5796847635729</v>
      </c>
      <c r="E24" s="34">
        <f>+'GVA-productivity1'!T$11</f>
        <v>1860</v>
      </c>
      <c r="F24" s="56">
        <f t="shared" si="5"/>
        <v>13.622738510723734</v>
      </c>
      <c r="G24" s="56">
        <f t="shared" si="5"/>
        <v>13.252313734178141</v>
      </c>
      <c r="H24" s="4"/>
      <c r="I24" s="4"/>
      <c r="J24" s="4"/>
      <c r="K24" s="6"/>
      <c r="L24" s="4"/>
      <c r="M24" s="4"/>
      <c r="N24" s="4"/>
      <c r="O24" s="4"/>
      <c r="P24" s="4"/>
    </row>
    <row r="25" spans="1:16" x14ac:dyDescent="0.25">
      <c r="A25" s="83" t="s">
        <v>21</v>
      </c>
      <c r="B25" s="56">
        <f t="shared" si="4"/>
        <v>0.11452052252510603</v>
      </c>
      <c r="C25" s="56">
        <f>+'GVA-productivity1'!T$38</f>
        <v>3.8195708783982285</v>
      </c>
      <c r="D25" s="34">
        <f>+'GVA-productivity1'!S$12</f>
        <v>73.289156626506028</v>
      </c>
      <c r="E25" s="34">
        <f>+'GVA-productivity1'!T$12</f>
        <v>93</v>
      </c>
      <c r="F25" s="56">
        <f t="shared" si="5"/>
        <v>0.54809516418380111</v>
      </c>
      <c r="G25" s="56">
        <f t="shared" si="5"/>
        <v>0.66261568670890714</v>
      </c>
      <c r="H25" s="4"/>
      <c r="I25" s="4"/>
      <c r="J25" s="4"/>
      <c r="K25" s="6"/>
      <c r="L25" s="4"/>
      <c r="M25" s="4"/>
      <c r="N25" s="4"/>
      <c r="O25" s="4"/>
      <c r="P25" s="4"/>
    </row>
    <row r="26" spans="1:16" x14ac:dyDescent="0.25">
      <c r="A26" s="83" t="s">
        <v>22</v>
      </c>
      <c r="B26" s="56">
        <f t="shared" si="4"/>
        <v>1.6495943657355951</v>
      </c>
      <c r="C26" s="56">
        <f>+'GVA-productivity1'!T$39</f>
        <v>0.44281967190896632</v>
      </c>
      <c r="D26" s="34">
        <f>+'GVA-productivity1'!S$13</f>
        <v>672.11560693641627</v>
      </c>
      <c r="E26" s="34">
        <f>+'GVA-productivity1'!T$13</f>
        <v>937.00000000000011</v>
      </c>
      <c r="F26" s="56">
        <f t="shared" si="5"/>
        <v>5.0264368003530731</v>
      </c>
      <c r="G26" s="56">
        <f t="shared" si="5"/>
        <v>6.6760311660886682</v>
      </c>
      <c r="H26" s="4"/>
      <c r="I26" s="4"/>
      <c r="J26" s="4"/>
      <c r="K26" s="6"/>
      <c r="L26" s="4"/>
      <c r="M26" s="4"/>
      <c r="N26" s="4"/>
      <c r="O26" s="4"/>
      <c r="P26" s="4"/>
    </row>
    <row r="27" spans="1:16" x14ac:dyDescent="0.25">
      <c r="A27" s="84" t="s">
        <v>25</v>
      </c>
      <c r="B27" s="56">
        <f t="shared" si="4"/>
        <v>1.9217924920030711</v>
      </c>
      <c r="C27" s="56">
        <f>+'GVA-productivity1'!T$43</f>
        <v>0.65991228616497166</v>
      </c>
      <c r="D27" s="34">
        <f>+'GVA-productivity1'!S$17</f>
        <v>2772.6556907659265</v>
      </c>
      <c r="E27" s="34">
        <f>+'GVA-productivity1'!T$17</f>
        <v>3179.9999999999995</v>
      </c>
      <c r="F27" s="56">
        <f t="shared" si="5"/>
        <v>20.7353890535273</v>
      </c>
      <c r="G27" s="56">
        <f t="shared" si="5"/>
        <v>22.657181545530371</v>
      </c>
      <c r="H27" s="4"/>
      <c r="I27" s="4"/>
      <c r="J27" s="4"/>
      <c r="K27" s="6"/>
      <c r="L27" s="4"/>
      <c r="M27" s="4"/>
      <c r="N27" s="4"/>
      <c r="O27" s="4"/>
      <c r="P27" s="4"/>
    </row>
    <row r="28" spans="1:16" x14ac:dyDescent="0.25">
      <c r="A28" s="84" t="s">
        <v>26</v>
      </c>
      <c r="B28" s="56">
        <f t="shared" si="4"/>
        <v>-0.32033154363127192</v>
      </c>
      <c r="C28" s="56">
        <f>+'GVA-productivity1'!T$44</f>
        <v>2.128873761801477</v>
      </c>
      <c r="D28" s="34">
        <f>+'GVA-productivity1'!S$18</f>
        <v>714.49681528662427</v>
      </c>
      <c r="E28" s="34">
        <f>+'GVA-productivity1'!T$18</f>
        <v>705</v>
      </c>
      <c r="F28" s="56">
        <f t="shared" si="5"/>
        <v>5.3433859428762132</v>
      </c>
      <c r="G28" s="56">
        <f t="shared" si="5"/>
        <v>5.0230543992449412</v>
      </c>
      <c r="H28" s="4"/>
      <c r="I28" s="4"/>
      <c r="J28" s="4"/>
      <c r="K28" s="6"/>
      <c r="L28" s="4"/>
      <c r="M28" s="4"/>
      <c r="N28" s="4"/>
      <c r="O28" s="4"/>
      <c r="P28" s="4"/>
    </row>
    <row r="29" spans="1:16" x14ac:dyDescent="0.25">
      <c r="A29" s="84" t="s">
        <v>46</v>
      </c>
      <c r="B29" s="56">
        <f t="shared" si="4"/>
        <v>1.9620809750062049</v>
      </c>
      <c r="C29" s="56">
        <f>+'GVA-productivity1'!T$46</f>
        <v>1.5981606153638617</v>
      </c>
      <c r="D29" s="34">
        <f>+'GVA-productivity1'!S$20</f>
        <v>1012.3693998309386</v>
      </c>
      <c r="E29" s="34">
        <f>+'GVA-productivity1'!T$20</f>
        <v>1338</v>
      </c>
      <c r="F29" s="56">
        <f t="shared" si="5"/>
        <v>7.5710350337735557</v>
      </c>
      <c r="G29" s="56">
        <f t="shared" si="5"/>
        <v>9.5331160087797606</v>
      </c>
      <c r="H29" s="4"/>
      <c r="I29" s="4"/>
      <c r="J29" s="4"/>
      <c r="K29" s="6"/>
      <c r="L29" s="4"/>
      <c r="M29" s="4"/>
      <c r="N29" s="4"/>
      <c r="O29" s="4"/>
      <c r="P29" s="4"/>
    </row>
    <row r="30" spans="1:16" x14ac:dyDescent="0.25">
      <c r="A30" s="83" t="s">
        <v>47</v>
      </c>
      <c r="B30" s="56">
        <f t="shared" si="4"/>
        <v>0.26275715800248101</v>
      </c>
      <c r="C30" s="56">
        <f>+'GVA-productivity1'!T$48</f>
        <v>1.0749450689286864</v>
      </c>
      <c r="D30" s="34">
        <f>+'GVA-productivity1'!S$24</f>
        <v>1953.9867849653815</v>
      </c>
      <c r="E30" s="34">
        <f>+'GVA-productivity1'!T$24</f>
        <v>2087.8477525374578</v>
      </c>
      <c r="F30" s="56">
        <f t="shared" si="5"/>
        <v>14.61294899566694</v>
      </c>
      <c r="G30" s="56">
        <f t="shared" si="5"/>
        <v>14.875706153669421</v>
      </c>
      <c r="H30" s="4"/>
      <c r="I30" s="4"/>
      <c r="J30" s="4"/>
      <c r="K30" s="6"/>
      <c r="L30" s="4"/>
      <c r="M30" s="4"/>
      <c r="N30" s="4"/>
      <c r="O30" s="4"/>
      <c r="P30" s="4"/>
    </row>
    <row r="31" spans="1:16" x14ac:dyDescent="0.25">
      <c r="A31" s="84" t="s">
        <v>34</v>
      </c>
      <c r="B31" s="56">
        <f t="shared" si="4"/>
        <v>0.18690749039051369</v>
      </c>
      <c r="C31" s="56">
        <f>+'GVA-productivity1'!T$49</f>
        <v>0.64091938570174112</v>
      </c>
      <c r="D31" s="34">
        <f>+'GVA-productivity1'!S$25</f>
        <v>1389.9327006370786</v>
      </c>
      <c r="E31" s="34">
        <f>+'GVA-productivity1'!T$25</f>
        <v>1485.1522474625424</v>
      </c>
      <c r="F31" s="56">
        <f t="shared" si="5"/>
        <v>10.394653545304855</v>
      </c>
      <c r="G31" s="56">
        <f t="shared" si="5"/>
        <v>10.581561035695369</v>
      </c>
      <c r="H31" s="4"/>
      <c r="I31" s="4"/>
      <c r="J31" s="4"/>
      <c r="K31" s="6"/>
      <c r="L31" s="4"/>
      <c r="M31" s="4"/>
      <c r="N31" s="4"/>
      <c r="O31" s="4"/>
      <c r="P31" s="4"/>
    </row>
    <row r="32" spans="1:16" x14ac:dyDescent="0.25">
      <c r="A32" s="85" t="s">
        <v>48</v>
      </c>
      <c r="B32" s="56">
        <f>+G32-F32</f>
        <v>0</v>
      </c>
      <c r="C32" s="58">
        <f>+'GVA-productivity1'!T51</f>
        <v>15.390135900699969</v>
      </c>
      <c r="D32" s="34">
        <f>+'GVA-productivity1'!S$27</f>
        <v>13371.611613403846</v>
      </c>
      <c r="E32" s="34">
        <f>+'GVA-productivity1'!T$27</f>
        <v>14035.284987277355</v>
      </c>
      <c r="F32" s="56">
        <f t="shared" si="5"/>
        <v>100</v>
      </c>
      <c r="G32" s="56">
        <f t="shared" si="5"/>
        <v>100</v>
      </c>
      <c r="H32" s="4"/>
      <c r="I32" s="4"/>
      <c r="J32" s="4"/>
      <c r="K32" s="6"/>
      <c r="L32" s="4"/>
      <c r="M32" s="4"/>
      <c r="N32" s="4"/>
      <c r="O32" s="4"/>
      <c r="P32" s="4"/>
    </row>
    <row r="33" spans="1:16" x14ac:dyDescent="0.25">
      <c r="A33" s="59" t="s">
        <v>49</v>
      </c>
      <c r="B33" s="44">
        <v>-3.1225022567582528E-16</v>
      </c>
      <c r="C33" s="61">
        <f>SUM(C22:C31)</f>
        <v>15.390135900699969</v>
      </c>
      <c r="D33" s="62">
        <f>SUM(D22:D31)</f>
        <v>13371.611613403844</v>
      </c>
      <c r="E33" s="62">
        <f>SUM(E22:E31)</f>
        <v>14035.284987277353</v>
      </c>
      <c r="F33" s="60">
        <f>SUM(F22:F31)</f>
        <v>99.999999999999972</v>
      </c>
      <c r="G33" s="60">
        <f>SUM(G22:G31)</f>
        <v>99.999999999999986</v>
      </c>
      <c r="H33" s="4"/>
      <c r="I33" s="4"/>
      <c r="J33" s="4"/>
      <c r="K33" s="6"/>
      <c r="L33" s="4"/>
      <c r="M33" s="4"/>
      <c r="N33" s="4"/>
      <c r="O33" s="4"/>
      <c r="P33" s="4"/>
    </row>
    <row r="34" spans="1:16" x14ac:dyDescent="0.25">
      <c r="A34" s="59"/>
      <c r="B34" s="44"/>
      <c r="C34" s="61"/>
      <c r="D34" s="62"/>
      <c r="E34" s="62"/>
      <c r="F34" s="60"/>
      <c r="G34" s="60"/>
      <c r="H34" s="4"/>
      <c r="I34" s="4"/>
      <c r="J34" s="4"/>
      <c r="K34" s="6"/>
      <c r="L34" s="4"/>
      <c r="M34" s="4"/>
      <c r="N34" s="4"/>
      <c r="O34" s="4"/>
      <c r="P34" s="4"/>
    </row>
    <row r="35" spans="1:16" x14ac:dyDescent="0.25">
      <c r="A35" s="59"/>
      <c r="B35" s="44"/>
      <c r="C35" s="61"/>
      <c r="D35" s="62"/>
      <c r="E35" s="62"/>
      <c r="F35" s="60"/>
      <c r="G35" s="60"/>
      <c r="H35" s="4"/>
      <c r="I35" s="4"/>
      <c r="J35" s="4"/>
      <c r="K35" s="6"/>
      <c r="L35" s="4"/>
      <c r="M35" s="4"/>
      <c r="N35" s="4"/>
      <c r="O35" s="4"/>
      <c r="P35" s="4"/>
    </row>
    <row r="36" spans="1:16" x14ac:dyDescent="0.25">
      <c r="A36" s="4"/>
      <c r="B36" s="71"/>
      <c r="C36" s="4"/>
      <c r="D36" s="4"/>
      <c r="E36" s="4"/>
      <c r="F36" s="4"/>
      <c r="G36" s="4"/>
      <c r="H36" s="4"/>
      <c r="I36" s="4"/>
      <c r="J36" s="4"/>
      <c r="K36" s="6"/>
      <c r="L36" s="4"/>
      <c r="M36" s="4"/>
      <c r="N36" s="4"/>
      <c r="O36" s="4"/>
      <c r="P36" s="4"/>
    </row>
    <row r="37" spans="1:16" ht="51" x14ac:dyDescent="0.25">
      <c r="A37" s="87" t="s">
        <v>13</v>
      </c>
      <c r="B37" s="89" t="s">
        <v>42</v>
      </c>
      <c r="C37" s="90" t="s">
        <v>10</v>
      </c>
      <c r="D37" s="273" t="s">
        <v>43</v>
      </c>
      <c r="E37" s="273"/>
      <c r="F37" s="273" t="s">
        <v>44</v>
      </c>
      <c r="G37" s="273"/>
      <c r="H37" s="36"/>
      <c r="I37" s="36"/>
      <c r="J37" s="36"/>
      <c r="K37" s="42"/>
      <c r="L37" s="36"/>
      <c r="M37" s="36"/>
      <c r="N37" s="36"/>
      <c r="O37" s="36"/>
      <c r="P37" s="36"/>
    </row>
    <row r="38" spans="1:16" x14ac:dyDescent="0.25">
      <c r="A38" s="51"/>
      <c r="B38" s="91" t="s">
        <v>13</v>
      </c>
      <c r="C38" s="92">
        <v>2010</v>
      </c>
      <c r="D38" s="93">
        <v>2005</v>
      </c>
      <c r="E38" s="93">
        <v>2010</v>
      </c>
      <c r="F38" s="93">
        <v>2005</v>
      </c>
      <c r="G38" s="93">
        <v>2010</v>
      </c>
      <c r="H38" s="4"/>
      <c r="I38" s="4"/>
      <c r="J38" s="4"/>
      <c r="K38" s="6"/>
      <c r="L38" s="4"/>
      <c r="M38" s="4"/>
      <c r="N38" s="4"/>
      <c r="O38" s="4"/>
      <c r="P38" s="4"/>
    </row>
    <row r="39" spans="1:16" x14ac:dyDescent="0.25">
      <c r="A39" s="83" t="s">
        <v>14</v>
      </c>
      <c r="B39" s="56">
        <f t="shared" ref="B39:B49" si="6">+G39-F39</f>
        <v>0.73235496830628044</v>
      </c>
      <c r="C39" s="56">
        <f>+'GVA-productivity1'!U$34</f>
        <v>0.18156016966710073</v>
      </c>
      <c r="D39" s="34">
        <f>+'GVA-productivity1'!T$8</f>
        <v>2006.2849872773538</v>
      </c>
      <c r="E39" s="34">
        <f>+'GVA-productivity1'!U$8</f>
        <v>2196.75</v>
      </c>
      <c r="F39" s="56">
        <f>(+D39/D$49)*100</f>
        <v>14.294579619124246</v>
      </c>
      <c r="G39" s="56">
        <f>(+E39/E$49)*100</f>
        <v>15.026934587430526</v>
      </c>
      <c r="H39" s="4"/>
      <c r="I39" s="4"/>
      <c r="J39" s="4"/>
      <c r="K39" s="6"/>
      <c r="L39" s="4"/>
      <c r="M39" s="4"/>
      <c r="N39" s="4"/>
      <c r="O39" s="4"/>
      <c r="P39" s="4"/>
    </row>
    <row r="40" spans="1:16" x14ac:dyDescent="0.25">
      <c r="A40" s="83" t="s">
        <v>19</v>
      </c>
      <c r="B40" s="56">
        <f t="shared" si="6"/>
        <v>-0.35747895794895301</v>
      </c>
      <c r="C40" s="56">
        <f>+'GVA-productivity1'!U$36</f>
        <v>3.1114817628236207</v>
      </c>
      <c r="D40" s="34">
        <f>+'GVA-productivity1'!T$10</f>
        <v>343</v>
      </c>
      <c r="E40" s="34">
        <f>+'GVA-productivity1'!U$10</f>
        <v>305</v>
      </c>
      <c r="F40" s="56">
        <f t="shared" ref="F40:G49" si="7">(+D40/D$49)*100</f>
        <v>2.4438406509801629</v>
      </c>
      <c r="G40" s="56">
        <f t="shared" si="7"/>
        <v>2.0863616930312099</v>
      </c>
      <c r="H40" s="4"/>
      <c r="I40" s="4"/>
      <c r="J40" s="4"/>
      <c r="K40" s="6"/>
      <c r="L40" s="4"/>
      <c r="M40" s="4"/>
      <c r="N40" s="4"/>
      <c r="O40" s="4"/>
      <c r="P40" s="4"/>
    </row>
    <row r="41" spans="1:16" x14ac:dyDescent="0.25">
      <c r="A41" s="83" t="s">
        <v>20</v>
      </c>
      <c r="B41" s="56">
        <f t="shared" si="6"/>
        <v>-1.3566318188297011</v>
      </c>
      <c r="C41" s="56">
        <f>+'GVA-productivity1'!U$37</f>
        <v>1.5521556017400497</v>
      </c>
      <c r="D41" s="34">
        <f>+'GVA-productivity1'!T$11</f>
        <v>1860</v>
      </c>
      <c r="E41" s="34">
        <f>+'GVA-productivity1'!U$11</f>
        <v>1739</v>
      </c>
      <c r="F41" s="56">
        <f t="shared" si="7"/>
        <v>13.252313734178141</v>
      </c>
      <c r="G41" s="56">
        <f t="shared" si="7"/>
        <v>11.89568191534844</v>
      </c>
      <c r="H41" s="4"/>
      <c r="I41" s="4"/>
      <c r="J41" s="4"/>
      <c r="K41" s="6"/>
      <c r="L41" s="4"/>
      <c r="M41" s="4"/>
      <c r="N41" s="4"/>
      <c r="O41" s="4"/>
      <c r="P41" s="4"/>
    </row>
    <row r="42" spans="1:16" x14ac:dyDescent="0.25">
      <c r="A42" s="83" t="s">
        <v>21</v>
      </c>
      <c r="B42" s="56">
        <f t="shared" si="6"/>
        <v>-4.696797401117303E-2</v>
      </c>
      <c r="C42" s="56">
        <f>+'GVA-productivity1'!U$38</f>
        <v>3.6436925395422128</v>
      </c>
      <c r="D42" s="34">
        <f>+'GVA-productivity1'!T$12</f>
        <v>93</v>
      </c>
      <c r="E42" s="34">
        <f>+'GVA-productivity1'!U$12</f>
        <v>90</v>
      </c>
      <c r="F42" s="56">
        <f t="shared" si="7"/>
        <v>0.66261568670890714</v>
      </c>
      <c r="G42" s="56">
        <f t="shared" si="7"/>
        <v>0.61564771269773411</v>
      </c>
      <c r="H42" s="4"/>
      <c r="I42" s="4"/>
      <c r="J42" s="4"/>
      <c r="K42" s="6"/>
      <c r="L42" s="4"/>
      <c r="M42" s="4"/>
      <c r="N42" s="4"/>
      <c r="O42" s="4"/>
      <c r="P42" s="4"/>
    </row>
    <row r="43" spans="1:16" x14ac:dyDescent="0.25">
      <c r="A43" s="83" t="s">
        <v>22</v>
      </c>
      <c r="B43" s="56">
        <f t="shared" si="6"/>
        <v>0.57493078346242221</v>
      </c>
      <c r="C43" s="56">
        <f>+'GVA-productivity1'!U$39</f>
        <v>0.52135546935540134</v>
      </c>
      <c r="D43" s="34">
        <f>+'GVA-productivity1'!T$13</f>
        <v>937.00000000000011</v>
      </c>
      <c r="E43" s="34">
        <f>+'GVA-productivity1'!U$13</f>
        <v>1060</v>
      </c>
      <c r="F43" s="56">
        <f t="shared" si="7"/>
        <v>6.6760311660886682</v>
      </c>
      <c r="G43" s="56">
        <f t="shared" si="7"/>
        <v>7.2509619495510904</v>
      </c>
      <c r="H43" s="4"/>
      <c r="I43" s="4"/>
      <c r="J43" s="4"/>
      <c r="K43" s="6"/>
      <c r="L43" s="4"/>
      <c r="M43" s="4"/>
      <c r="N43" s="4"/>
      <c r="O43" s="4"/>
      <c r="P43" s="4"/>
    </row>
    <row r="44" spans="1:16" x14ac:dyDescent="0.25">
      <c r="A44" s="84" t="s">
        <v>25</v>
      </c>
      <c r="B44" s="56">
        <f t="shared" si="6"/>
        <v>-2.6349498225718406</v>
      </c>
      <c r="C44" s="56">
        <f>+'GVA-productivity1'!U$43</f>
        <v>0.73408144281202425</v>
      </c>
      <c r="D44" s="34">
        <f>+'GVA-productivity1'!T$17</f>
        <v>3179.9999999999995</v>
      </c>
      <c r="E44" s="34">
        <f>+'GVA-productivity1'!U$17</f>
        <v>2927</v>
      </c>
      <c r="F44" s="56">
        <f t="shared" si="7"/>
        <v>22.657181545530371</v>
      </c>
      <c r="G44" s="56">
        <f t="shared" si="7"/>
        <v>20.02223172295853</v>
      </c>
      <c r="H44" s="4"/>
      <c r="I44" s="4"/>
      <c r="J44" s="4"/>
      <c r="K44" s="6"/>
      <c r="L44" s="4"/>
      <c r="M44" s="4"/>
      <c r="N44" s="4"/>
      <c r="O44" s="4"/>
      <c r="P44" s="4"/>
    </row>
    <row r="45" spans="1:16" x14ac:dyDescent="0.25">
      <c r="A45" s="84" t="s">
        <v>26</v>
      </c>
      <c r="B45" s="56">
        <f t="shared" si="6"/>
        <v>0.27151592995557206</v>
      </c>
      <c r="C45" s="56">
        <f>+'GVA-productivity1'!U$44</f>
        <v>2.0671195438919479</v>
      </c>
      <c r="D45" s="34">
        <f>+'GVA-productivity1'!T$18</f>
        <v>705</v>
      </c>
      <c r="E45" s="34">
        <f>+'GVA-productivity1'!U$18</f>
        <v>774</v>
      </c>
      <c r="F45" s="56">
        <f t="shared" si="7"/>
        <v>5.0230543992449412</v>
      </c>
      <c r="G45" s="56">
        <f t="shared" si="7"/>
        <v>5.2945703292005133</v>
      </c>
      <c r="H45" s="4"/>
      <c r="I45" s="4"/>
      <c r="J45" s="4"/>
      <c r="K45" s="6"/>
      <c r="L45" s="4"/>
      <c r="M45" s="4"/>
      <c r="N45" s="4"/>
      <c r="O45" s="4"/>
      <c r="P45" s="4"/>
    </row>
    <row r="46" spans="1:16" x14ac:dyDescent="0.25">
      <c r="A46" s="84" t="s">
        <v>46</v>
      </c>
      <c r="B46" s="56">
        <f t="shared" si="6"/>
        <v>1.7948019048585451</v>
      </c>
      <c r="C46" s="56">
        <f>+'GVA-productivity1'!U$46</f>
        <v>1.5736007615712337</v>
      </c>
      <c r="D46" s="34">
        <f>+'GVA-productivity1'!T$20</f>
        <v>1338</v>
      </c>
      <c r="E46" s="34">
        <f>+'GVA-productivity1'!U$20</f>
        <v>1656</v>
      </c>
      <c r="F46" s="56">
        <f t="shared" si="7"/>
        <v>9.5331160087797606</v>
      </c>
      <c r="G46" s="56">
        <f t="shared" si="7"/>
        <v>11.327917913638306</v>
      </c>
      <c r="H46" s="4"/>
      <c r="I46" s="4"/>
      <c r="J46" s="4"/>
      <c r="K46" s="6"/>
      <c r="L46" s="4"/>
      <c r="M46" s="4"/>
      <c r="N46" s="4"/>
      <c r="O46" s="4"/>
      <c r="P46" s="4"/>
    </row>
    <row r="47" spans="1:16" x14ac:dyDescent="0.25">
      <c r="A47" s="83" t="s">
        <v>47</v>
      </c>
      <c r="B47" s="56">
        <f t="shared" si="6"/>
        <v>0.5974440836228343</v>
      </c>
      <c r="C47" s="56">
        <f>+'GVA-productivity1'!U$48</f>
        <v>1.0520728502482102</v>
      </c>
      <c r="D47" s="34">
        <f>+'GVA-productivity1'!T$24</f>
        <v>2087.8477525374578</v>
      </c>
      <c r="E47" s="34">
        <f>+'GVA-productivity1'!U$24</f>
        <v>2261.9811503141614</v>
      </c>
      <c r="F47" s="56">
        <f t="shared" si="7"/>
        <v>14.875706153669421</v>
      </c>
      <c r="G47" s="56">
        <f t="shared" si="7"/>
        <v>15.473150237292256</v>
      </c>
      <c r="H47" s="4"/>
      <c r="I47" s="4"/>
      <c r="J47" s="4"/>
      <c r="K47" s="6"/>
      <c r="L47" s="4"/>
      <c r="M47" s="4"/>
      <c r="N47" s="4"/>
      <c r="O47" s="4"/>
      <c r="P47" s="4"/>
    </row>
    <row r="48" spans="1:16" x14ac:dyDescent="0.25">
      <c r="A48" s="84" t="s">
        <v>34</v>
      </c>
      <c r="B48" s="56">
        <f t="shared" si="6"/>
        <v>0.42498090315602788</v>
      </c>
      <c r="C48" s="56">
        <f>+'GVA-productivity1'!U$49</f>
        <v>0.59469739278945077</v>
      </c>
      <c r="D48" s="34">
        <f>+'GVA-productivity1'!T$25</f>
        <v>1485.1522474625424</v>
      </c>
      <c r="E48" s="34">
        <f>+'GVA-productivity1'!U$25</f>
        <v>1609.0188496858386</v>
      </c>
      <c r="F48" s="56">
        <f t="shared" si="7"/>
        <v>10.581561035695369</v>
      </c>
      <c r="G48" s="56">
        <f t="shared" si="7"/>
        <v>11.006541938851397</v>
      </c>
      <c r="H48" s="4"/>
      <c r="I48" s="4"/>
      <c r="J48" s="4"/>
      <c r="K48" s="6"/>
      <c r="L48" s="4"/>
      <c r="M48" s="4"/>
      <c r="N48" s="4"/>
      <c r="O48" s="4"/>
      <c r="P48" s="4"/>
    </row>
    <row r="49" spans="1:16" x14ac:dyDescent="0.25">
      <c r="A49" s="85" t="s">
        <v>48</v>
      </c>
      <c r="B49" s="56">
        <f t="shared" si="6"/>
        <v>0</v>
      </c>
      <c r="C49" s="58">
        <f>+'GVA-productivity1'!U51</f>
        <v>15.031817534441252</v>
      </c>
      <c r="D49" s="34">
        <f>+'GVA-productivity1'!T$27</f>
        <v>14035.284987277355</v>
      </c>
      <c r="E49" s="34">
        <f>+'GVA-productivity1'!U$27</f>
        <v>14618.75</v>
      </c>
      <c r="F49" s="56">
        <f t="shared" si="7"/>
        <v>100</v>
      </c>
      <c r="G49" s="56">
        <f t="shared" si="7"/>
        <v>100</v>
      </c>
      <c r="H49" s="4"/>
      <c r="I49" s="4"/>
      <c r="J49" s="4"/>
      <c r="K49" s="6"/>
      <c r="L49" s="4"/>
      <c r="M49" s="4"/>
      <c r="N49" s="4"/>
      <c r="O49" s="4"/>
      <c r="P49" s="4"/>
    </row>
    <row r="50" spans="1:16" x14ac:dyDescent="0.25">
      <c r="A50" s="73" t="s">
        <v>49</v>
      </c>
      <c r="B50" s="44">
        <v>-3.1225022567582528E-16</v>
      </c>
      <c r="C50" s="61">
        <f>SUM(C39:C48)</f>
        <v>15.031817534441252</v>
      </c>
      <c r="D50" s="62">
        <f>SUM(D39:D48)</f>
        <v>14035.284987277353</v>
      </c>
      <c r="E50" s="62">
        <f>SUM(E39:E48)</f>
        <v>14618.75</v>
      </c>
      <c r="F50" s="60">
        <f>SUM(F39:F48)</f>
        <v>99.999999999999986</v>
      </c>
      <c r="G50" s="60">
        <f>SUM(G39:G48)</f>
        <v>100</v>
      </c>
      <c r="H50" s="4"/>
      <c r="I50" s="4"/>
      <c r="J50" s="4"/>
      <c r="K50" s="6"/>
      <c r="L50" s="4"/>
      <c r="M50" s="4"/>
      <c r="N50" s="4"/>
      <c r="O50" s="4"/>
      <c r="P50" s="4"/>
    </row>
  </sheetData>
  <mergeCells count="6">
    <mergeCell ref="D4:E4"/>
    <mergeCell ref="F4:G4"/>
    <mergeCell ref="D20:E20"/>
    <mergeCell ref="F20:G20"/>
    <mergeCell ref="D37:E37"/>
    <mergeCell ref="F37:G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4"/>
  <sheetViews>
    <sheetView showGridLines="0" workbookViewId="0">
      <selection activeCell="A2" sqref="A2"/>
    </sheetView>
  </sheetViews>
  <sheetFormatPr defaultRowHeight="12" x14ac:dyDescent="0.25"/>
  <cols>
    <col min="1" max="1" width="28.140625" customWidth="1"/>
    <col min="2" max="7" width="12.85546875" customWidth="1"/>
    <col min="8" max="8" width="3.42578125" customWidth="1"/>
  </cols>
  <sheetData>
    <row r="1" spans="1:7" ht="14.4" x14ac:dyDescent="0.3">
      <c r="A1" s="112" t="s">
        <v>50</v>
      </c>
      <c r="B1" s="95"/>
      <c r="C1" s="96"/>
      <c r="D1" s="96"/>
      <c r="E1" s="96"/>
      <c r="F1" s="96"/>
      <c r="G1" s="96"/>
    </row>
    <row r="2" spans="1:7" ht="11.25" customHeight="1" x14ac:dyDescent="0.25">
      <c r="A2" s="284" t="s">
        <v>116</v>
      </c>
      <c r="B2" s="95"/>
      <c r="C2" s="96"/>
      <c r="D2" s="96"/>
      <c r="E2" s="96"/>
      <c r="F2" s="96"/>
      <c r="G2" s="96"/>
    </row>
    <row r="3" spans="1:7" ht="24" x14ac:dyDescent="0.3">
      <c r="A3" s="94"/>
      <c r="B3" s="95"/>
      <c r="C3" s="96"/>
      <c r="D3" s="96"/>
      <c r="E3" s="109"/>
      <c r="F3" s="99" t="s">
        <v>54</v>
      </c>
      <c r="G3" s="99" t="s">
        <v>55</v>
      </c>
    </row>
    <row r="4" spans="1:7" ht="11.25" customHeight="1" x14ac:dyDescent="0.3">
      <c r="A4" s="94"/>
      <c r="B4" s="95"/>
      <c r="C4" s="96"/>
      <c r="D4" s="96"/>
      <c r="E4" s="98" t="s">
        <v>11</v>
      </c>
      <c r="F4" s="70">
        <f>+F21</f>
        <v>3.3004622579553482E-3</v>
      </c>
      <c r="G4" s="244">
        <f>+B10-F4</f>
        <v>-3.2693398282868306E-3</v>
      </c>
    </row>
    <row r="5" spans="1:7" ht="11.25" customHeight="1" x14ac:dyDescent="0.3">
      <c r="A5" s="94"/>
      <c r="B5" s="95"/>
      <c r="C5" s="96"/>
      <c r="D5" s="96"/>
      <c r="E5" s="98" t="s">
        <v>12</v>
      </c>
      <c r="F5" s="70">
        <f>+F35</f>
        <v>2.7728033298695227E-2</v>
      </c>
      <c r="G5" s="244">
        <f>+B24-F5</f>
        <v>5.8925076033033291E-4</v>
      </c>
    </row>
    <row r="6" spans="1:7" ht="11.25" customHeight="1" x14ac:dyDescent="0.3">
      <c r="A6" s="94"/>
      <c r="B6" s="95"/>
      <c r="C6" s="96"/>
      <c r="D6" s="96"/>
      <c r="E6" s="98" t="s">
        <v>13</v>
      </c>
      <c r="F6" s="70">
        <f>+F49</f>
        <v>2.5916398538331612E-2</v>
      </c>
      <c r="G6" s="244">
        <f>+B38-F6</f>
        <v>-2.0590529223915056E-3</v>
      </c>
    </row>
    <row r="7" spans="1:7" s="132" customFormat="1" ht="11.25" customHeight="1" x14ac:dyDescent="0.3">
      <c r="A7" s="127"/>
      <c r="B7" s="128"/>
      <c r="C7" s="129"/>
      <c r="D7" s="129"/>
      <c r="E7" s="130"/>
      <c r="F7" s="131"/>
      <c r="G7" s="237"/>
    </row>
    <row r="8" spans="1:7" ht="49.8" customHeight="1" x14ac:dyDescent="0.25">
      <c r="A8" s="97"/>
      <c r="B8" s="133" t="s">
        <v>51</v>
      </c>
      <c r="C8" s="133" t="s">
        <v>52</v>
      </c>
      <c r="D8" s="133" t="s">
        <v>52</v>
      </c>
      <c r="E8" s="133" t="s">
        <v>53</v>
      </c>
      <c r="F8" s="134" t="s">
        <v>54</v>
      </c>
      <c r="G8" s="238"/>
    </row>
    <row r="9" spans="1:7" ht="12.6" customHeight="1" x14ac:dyDescent="0.25">
      <c r="A9" s="97"/>
      <c r="B9" s="135" t="s">
        <v>11</v>
      </c>
      <c r="C9" s="135" t="s">
        <v>8</v>
      </c>
      <c r="D9" s="135" t="s">
        <v>45</v>
      </c>
      <c r="E9" s="135" t="s">
        <v>56</v>
      </c>
      <c r="F9" s="99" t="s">
        <v>103</v>
      </c>
      <c r="G9" s="239"/>
    </row>
    <row r="10" spans="1:7" x14ac:dyDescent="0.25">
      <c r="A10" s="100" t="s">
        <v>37</v>
      </c>
      <c r="B10" s="66">
        <f>VLOOKUP(A10,'GVA-productivity1'!$A$55:$M$71,11,FALSE)</f>
        <v>3.1122429668517526E-5</v>
      </c>
      <c r="C10" s="66">
        <f>VLOOKUP($A10,'GVA-productivity1'!$A$34:$O$50,12,FALSE)/100</f>
        <v>1</v>
      </c>
      <c r="D10" s="66">
        <f>VLOOKUP($A10,'GVA-productivity1'!$A$34:$O$50,13,FALSE)/100</f>
        <v>1</v>
      </c>
      <c r="E10" s="101"/>
      <c r="F10" s="102"/>
      <c r="G10" s="240"/>
    </row>
    <row r="11" spans="1:7" x14ac:dyDescent="0.25">
      <c r="A11" s="103" t="s">
        <v>14</v>
      </c>
      <c r="B11" s="66">
        <f>VLOOKUP(A11,'GVA-productivity1'!$A$55:$M$71,11,FALSE)</f>
        <v>3.4432243514823657E-3</v>
      </c>
      <c r="C11" s="66">
        <f>VLOOKUP($A11,'GVA-productivity1'!$A$34:$O$50,12,FALSE)/100</f>
        <v>0.21500041629265815</v>
      </c>
      <c r="D11" s="66">
        <f>VLOOKUP($A11,'GVA-productivity1'!$A$34:$O$50,13,FALSE)/100</f>
        <v>0.18661606116810511</v>
      </c>
      <c r="E11" s="67">
        <f>+D11-C11</f>
        <v>-2.8384355124553035E-2</v>
      </c>
      <c r="F11" s="68">
        <f t="shared" ref="F11:F20" si="0">+B11*C11</f>
        <v>7.4029466895772652E-4</v>
      </c>
      <c r="G11" s="241"/>
    </row>
    <row r="12" spans="1:7" x14ac:dyDescent="0.25">
      <c r="A12" s="104" t="s">
        <v>19</v>
      </c>
      <c r="B12" s="66">
        <f>VLOOKUP(A12,'GVA-productivity1'!$A$55:$M$71,11,FALSE)</f>
        <v>7.4349598219769275E-2</v>
      </c>
      <c r="C12" s="66">
        <f>VLOOKUP($A12,'GVA-productivity1'!$A$34:$O$50,12,FALSE)/100</f>
        <v>8.7546230906420858E-2</v>
      </c>
      <c r="D12" s="66">
        <f>VLOOKUP($A12,'GVA-productivity1'!$A$34:$O$50,13,FALSE)/100</f>
        <v>3.4837108367800004E-2</v>
      </c>
      <c r="E12" s="67">
        <f t="shared" ref="E12:E20" si="1">+D12-C12</f>
        <v>-5.2709122538620853E-2</v>
      </c>
      <c r="F12" s="68">
        <f t="shared" si="0"/>
        <v>6.5090270935475383E-3</v>
      </c>
      <c r="G12" s="241"/>
    </row>
    <row r="13" spans="1:7" x14ac:dyDescent="0.25">
      <c r="A13" s="104" t="s">
        <v>20</v>
      </c>
      <c r="B13" s="66">
        <f>VLOOKUP(A13,'GVA-productivity1'!$A$55:$M$71,11,FALSE)</f>
        <v>2.8216175013831002E-3</v>
      </c>
      <c r="C13" s="66">
        <f>VLOOKUP($A13,'GVA-productivity1'!$A$34:$O$50,12,FALSE)/100</f>
        <v>0.14690487212447884</v>
      </c>
      <c r="D13" s="66">
        <f>VLOOKUP($A13,'GVA-productivity1'!$A$34:$O$50,13,FALSE)/100</f>
        <v>0.13622738510723734</v>
      </c>
      <c r="E13" s="67">
        <f t="shared" si="1"/>
        <v>-1.0677487017241499E-2</v>
      </c>
      <c r="F13" s="68">
        <f t="shared" si="0"/>
        <v>4.1450935822487584E-4</v>
      </c>
      <c r="G13" s="241"/>
    </row>
    <row r="14" spans="1:7" x14ac:dyDescent="0.25">
      <c r="A14" s="104" t="s">
        <v>21</v>
      </c>
      <c r="B14" s="66">
        <f>VLOOKUP(A14,'GVA-productivity1'!$A$55:$M$71,11,FALSE)</f>
        <v>7.0652410657805476E-2</v>
      </c>
      <c r="C14" s="66">
        <f>VLOOKUP($A14,'GVA-productivity1'!$A$34:$O$50,12,FALSE)/100</f>
        <v>1.0169343593468154E-2</v>
      </c>
      <c r="D14" s="66">
        <f>VLOOKUP($A14,'GVA-productivity1'!$A$34:$O$50,13,FALSE)/100</f>
        <v>5.4809516418380111E-3</v>
      </c>
      <c r="E14" s="67">
        <f t="shared" si="1"/>
        <v>-4.6883919516301428E-3</v>
      </c>
      <c r="F14" s="68">
        <f t="shared" si="0"/>
        <v>7.1848863968603524E-4</v>
      </c>
      <c r="G14" s="241"/>
    </row>
    <row r="15" spans="1:7" x14ac:dyDescent="0.25">
      <c r="A15" s="104" t="s">
        <v>22</v>
      </c>
      <c r="B15" s="66">
        <f>VLOOKUP(A15,'GVA-productivity1'!$A$55:$M$71,11,FALSE)</f>
        <v>-1.4201196062071486E-2</v>
      </c>
      <c r="C15" s="66">
        <f>VLOOKUP($A15,'GVA-productivity1'!$A$34:$O$50,12,FALSE)/100</f>
        <v>5.6576128517659592E-2</v>
      </c>
      <c r="D15" s="66">
        <f>VLOOKUP($A15,'GVA-productivity1'!$A$34:$O$50,13,FALSE)/100</f>
        <v>5.0264368003530728E-2</v>
      </c>
      <c r="E15" s="67">
        <f t="shared" si="1"/>
        <v>-6.3117605141288641E-3</v>
      </c>
      <c r="F15" s="68">
        <f t="shared" si="0"/>
        <v>-8.0344869351223766E-4</v>
      </c>
      <c r="G15" s="241"/>
    </row>
    <row r="16" spans="1:7" x14ac:dyDescent="0.25">
      <c r="A16" s="104" t="s">
        <v>25</v>
      </c>
      <c r="B16" s="66">
        <f>VLOOKUP(A16,'GVA-productivity1'!$A$55:$M$71,11,FALSE)</f>
        <v>-8.9257295157698646E-3</v>
      </c>
      <c r="C16" s="66">
        <f>VLOOKUP($A16,'GVA-productivity1'!$A$34:$O$50,12,FALSE)/100</f>
        <v>0.17603397659556069</v>
      </c>
      <c r="D16" s="66">
        <f>VLOOKUP($A16,'GVA-productivity1'!$A$34:$O$50,13,FALSE)/100</f>
        <v>0.20735389053527301</v>
      </c>
      <c r="E16" s="67">
        <f t="shared" si="1"/>
        <v>3.1319913939712313E-2</v>
      </c>
      <c r="F16" s="68">
        <f t="shared" si="0"/>
        <v>-1.5712316606773377E-3</v>
      </c>
      <c r="G16" s="241"/>
    </row>
    <row r="17" spans="1:7" x14ac:dyDescent="0.25">
      <c r="A17" s="104" t="s">
        <v>26</v>
      </c>
      <c r="B17" s="66">
        <f>VLOOKUP(A17,'GVA-productivity1'!$A$55:$M$71,11,FALSE)</f>
        <v>2.5076476361307609E-2</v>
      </c>
      <c r="C17" s="66">
        <f>VLOOKUP($A17,'GVA-productivity1'!$A$34:$O$50,12,FALSE)/100</f>
        <v>5.0413459628812024E-2</v>
      </c>
      <c r="D17" s="66">
        <f>VLOOKUP($A17,'GVA-productivity1'!$A$34:$O$50,13,FALSE)/100</f>
        <v>5.343385942876213E-2</v>
      </c>
      <c r="E17" s="67">
        <f t="shared" si="1"/>
        <v>3.0203997999501062E-3</v>
      </c>
      <c r="F17" s="68">
        <f t="shared" si="0"/>
        <v>1.2641919286736402E-3</v>
      </c>
      <c r="G17" s="241"/>
    </row>
    <row r="18" spans="1:7" x14ac:dyDescent="0.25">
      <c r="A18" s="104" t="s">
        <v>46</v>
      </c>
      <c r="B18" s="66">
        <f>VLOOKUP("Finance and business services",'GVA-productivity1'!$A$55:$M$71,11,FALSE)</f>
        <v>-3.2701284131322006E-2</v>
      </c>
      <c r="C18" s="66">
        <f>VLOOKUP("Finance and business services",'GVA-productivity1'!$A$34:$O$50,12,FALSE)/100</f>
        <v>4.8683647633894461E-2</v>
      </c>
      <c r="D18" s="66">
        <f>VLOOKUP("Finance and business services",'GVA-productivity1'!$A$34:$O$50,13,FALSE)/100</f>
        <v>7.5710350337735557E-2</v>
      </c>
      <c r="E18" s="67">
        <f t="shared" si="1"/>
        <v>2.7026702703841096E-2</v>
      </c>
      <c r="F18" s="68">
        <f t="shared" si="0"/>
        <v>-1.592017793825145E-3</v>
      </c>
      <c r="G18" s="241"/>
    </row>
    <row r="19" spans="1:7" x14ac:dyDescent="0.25">
      <c r="A19" s="104" t="s">
        <v>33</v>
      </c>
      <c r="B19" s="66">
        <f>VLOOKUP(A19,'GVA-productivity1'!$A$55:$M$71,11,FALSE)</f>
        <v>-4.2609356516540409E-2</v>
      </c>
      <c r="C19" s="66">
        <f>VLOOKUP($A19,'GVA-productivity1'!$A$34:$O$50,12,FALSE)/100</f>
        <v>0.10662727952928285</v>
      </c>
      <c r="D19" s="66">
        <f>VLOOKUP($A19,'GVA-productivity1'!$A$34:$O$50,13,FALSE)/100</f>
        <v>0.14612948995666941</v>
      </c>
      <c r="E19" s="67">
        <f t="shared" si="1"/>
        <v>3.9502210427386567E-2</v>
      </c>
      <c r="F19" s="68">
        <f t="shared" si="0"/>
        <v>-4.5433197678520238E-3</v>
      </c>
      <c r="G19" s="241"/>
    </row>
    <row r="20" spans="1:7" x14ac:dyDescent="0.25">
      <c r="A20" s="105" t="s">
        <v>34</v>
      </c>
      <c r="B20" s="66">
        <f>VLOOKUP("Other services",'GVA-productivity1'!$A$55:$M$71,11,FALSE)</f>
        <v>2.120609543952634E-2</v>
      </c>
      <c r="C20" s="66">
        <f>VLOOKUP("Other services",'GVA-productivity1'!$A$34:$O$50,12,FALSE)/100</f>
        <v>0.10204464517776454</v>
      </c>
      <c r="D20" s="66">
        <f>VLOOKUP("Other services",'GVA-productivity1'!$A$34:$O$50,13,FALSE)/100</f>
        <v>0.10394653545304855</v>
      </c>
      <c r="E20" s="67">
        <f t="shared" si="1"/>
        <v>1.9018902752840072E-3</v>
      </c>
      <c r="F20" s="68">
        <f t="shared" si="0"/>
        <v>2.1639684847322761E-3</v>
      </c>
      <c r="G20" s="241"/>
    </row>
    <row r="21" spans="1:7" x14ac:dyDescent="0.25">
      <c r="A21" s="106" t="s">
        <v>77</v>
      </c>
      <c r="B21" s="123">
        <f>SUM(B11:B20)</f>
        <v>9.91118563055704E-2</v>
      </c>
      <c r="C21" s="123">
        <f>SUM(C11:C20)</f>
        <v>1.0000000000000002</v>
      </c>
      <c r="D21" s="123">
        <f>SUM(D11:D20)</f>
        <v>0.99999999999999978</v>
      </c>
      <c r="E21" s="69"/>
      <c r="F21" s="70">
        <f>SUM(F11:F20)</f>
        <v>3.3004622579553482E-3</v>
      </c>
      <c r="G21" s="242"/>
    </row>
    <row r="22" spans="1:7" x14ac:dyDescent="0.25">
      <c r="A22" s="107"/>
      <c r="B22" s="108">
        <f>+'GVA-productivity1'!K72</f>
        <v>9.91118563055704E-2</v>
      </c>
      <c r="C22" s="108"/>
      <c r="D22" s="108"/>
      <c r="E22" s="107"/>
      <c r="F22" s="107"/>
      <c r="G22" s="243"/>
    </row>
    <row r="23" spans="1:7" x14ac:dyDescent="0.25">
      <c r="A23" s="97"/>
      <c r="B23" s="135" t="s">
        <v>12</v>
      </c>
      <c r="C23" s="135">
        <v>2000</v>
      </c>
      <c r="D23" s="135">
        <v>2005</v>
      </c>
      <c r="E23" s="135" t="s">
        <v>58</v>
      </c>
      <c r="F23" s="99" t="s">
        <v>103</v>
      </c>
      <c r="G23" s="239"/>
    </row>
    <row r="24" spans="1:7" x14ac:dyDescent="0.25">
      <c r="A24" s="100" t="s">
        <v>37</v>
      </c>
      <c r="B24" s="66">
        <f>VLOOKUP(A24,'GVA-productivity1'!$A$55:$M$71,12,FALSE)</f>
        <v>2.831728405902556E-2</v>
      </c>
      <c r="C24" s="66">
        <f>VLOOKUP($A24,'GVA-productivity1'!$A$34:$O$50,13,FALSE)/100</f>
        <v>1</v>
      </c>
      <c r="D24" s="66">
        <f>VLOOKUP($A24,'GVA-productivity1'!$A$34:$O$50,14,FALSE)/100</f>
        <v>1</v>
      </c>
      <c r="E24" s="101"/>
      <c r="F24" s="102"/>
      <c r="G24" s="240"/>
    </row>
    <row r="25" spans="1:7" x14ac:dyDescent="0.25">
      <c r="A25" s="103" t="s">
        <v>14</v>
      </c>
      <c r="B25" s="66">
        <f>VLOOKUP(A25,'GVA-productivity1'!$A$55:$M$71,12,FALSE)</f>
        <v>6.0006534824443403E-2</v>
      </c>
      <c r="C25" s="66">
        <f>VLOOKUP($A25,'GVA-productivity1'!$A$34:$O$50,13,FALSE)/100</f>
        <v>0.18661606116810511</v>
      </c>
      <c r="D25" s="66">
        <f>VLOOKUP($A25,'GVA-productivity1'!$A$34:$O$50,14,FALSE)/100</f>
        <v>0.14294579619124245</v>
      </c>
      <c r="E25" s="67">
        <f t="shared" ref="E25:E34" si="2">+D25-C25</f>
        <v>-4.3670264976862661E-2</v>
      </c>
      <c r="F25" s="68">
        <f t="shared" ref="F25:F34" si="3">+B25*C25</f>
        <v>1.119818317328436E-2</v>
      </c>
      <c r="G25" s="241"/>
    </row>
    <row r="26" spans="1:7" x14ac:dyDescent="0.25">
      <c r="A26" s="104" t="s">
        <v>19</v>
      </c>
      <c r="B26" s="66">
        <f>VLOOKUP(A26,'GVA-productivity1'!$A$55:$M$71,12,FALSE)</f>
        <v>7.7474381055185004E-2</v>
      </c>
      <c r="C26" s="66">
        <f>VLOOKUP($A26,'GVA-productivity1'!$A$34:$O$50,13,FALSE)/100</f>
        <v>3.4837108367800004E-2</v>
      </c>
      <c r="D26" s="66">
        <f>VLOOKUP($A26,'GVA-productivity1'!$A$34:$O$50,14,FALSE)/100</f>
        <v>2.4438406509801627E-2</v>
      </c>
      <c r="E26" s="67">
        <f t="shared" si="2"/>
        <v>-1.0398701857998377E-2</v>
      </c>
      <c r="F26" s="68">
        <f t="shared" si="3"/>
        <v>2.6989834085477116E-3</v>
      </c>
      <c r="G26" s="241"/>
    </row>
    <row r="27" spans="1:7" x14ac:dyDescent="0.25">
      <c r="A27" s="104" t="s">
        <v>20</v>
      </c>
      <c r="B27" s="66">
        <f>VLOOKUP(A27,'GVA-productivity1'!$A$55:$M$71,12,FALSE)</f>
        <v>2.6479031776421191E-2</v>
      </c>
      <c r="C27" s="66">
        <f>VLOOKUP($A27,'GVA-productivity1'!$A$34:$O$50,13,FALSE)/100</f>
        <v>0.13622738510723734</v>
      </c>
      <c r="D27" s="66">
        <f>VLOOKUP($A27,'GVA-productivity1'!$A$34:$O$50,14,FALSE)/100</f>
        <v>0.13252313734178142</v>
      </c>
      <c r="E27" s="67">
        <f t="shared" si="2"/>
        <v>-3.7042477654559147E-3</v>
      </c>
      <c r="F27" s="68">
        <f t="shared" si="3"/>
        <v>3.6071692590733044E-3</v>
      </c>
      <c r="G27" s="241"/>
    </row>
    <row r="28" spans="1:7" x14ac:dyDescent="0.25">
      <c r="A28" s="104" t="s">
        <v>21</v>
      </c>
      <c r="B28" s="66">
        <f>VLOOKUP(A28,'GVA-productivity1'!$A$55:$M$71,12,FALSE)</f>
        <v>-1.868196146034673E-2</v>
      </c>
      <c r="C28" s="66">
        <f>VLOOKUP($A28,'GVA-productivity1'!$A$34:$O$50,13,FALSE)/100</f>
        <v>5.4809516418380111E-3</v>
      </c>
      <c r="D28" s="66">
        <f>VLOOKUP($A28,'GVA-productivity1'!$A$34:$O$50,14,FALSE)/100</f>
        <v>6.6261568670890718E-3</v>
      </c>
      <c r="E28" s="67">
        <f t="shared" si="2"/>
        <v>1.1452052252510607E-3</v>
      </c>
      <c r="F28" s="68">
        <f t="shared" si="3"/>
        <v>-1.0239492733884186E-4</v>
      </c>
      <c r="G28" s="241"/>
    </row>
    <row r="29" spans="1:7" x14ac:dyDescent="0.25">
      <c r="A29" s="104" t="s">
        <v>22</v>
      </c>
      <c r="B29" s="66">
        <f>VLOOKUP(A29,'GVA-productivity1'!$A$55:$M$71,12,FALSE)</f>
        <v>9.2763516059319873E-3</v>
      </c>
      <c r="C29" s="66">
        <f>VLOOKUP($A29,'GVA-productivity1'!$A$34:$O$50,13,FALSE)/100</f>
        <v>5.0264368003530728E-2</v>
      </c>
      <c r="D29" s="66">
        <f>VLOOKUP($A29,'GVA-productivity1'!$A$34:$O$50,14,FALSE)/100</f>
        <v>6.6760311660886681E-2</v>
      </c>
      <c r="E29" s="67">
        <f t="shared" si="2"/>
        <v>1.6495943657355953E-2</v>
      </c>
      <c r="F29" s="68">
        <f t="shared" si="3"/>
        <v>4.6626995085070867E-4</v>
      </c>
      <c r="G29" s="241"/>
    </row>
    <row r="30" spans="1:7" x14ac:dyDescent="0.25">
      <c r="A30" s="104" t="s">
        <v>25</v>
      </c>
      <c r="B30" s="66">
        <f>VLOOKUP(A30,'GVA-productivity1'!$A$55:$M$71,12,FALSE)</f>
        <v>1.0282955962180207E-2</v>
      </c>
      <c r="C30" s="66">
        <f>VLOOKUP($A30,'GVA-productivity1'!$A$34:$O$50,13,FALSE)/100</f>
        <v>0.20735389053527301</v>
      </c>
      <c r="D30" s="66">
        <f>VLOOKUP($A30,'GVA-productivity1'!$A$34:$O$50,14,FALSE)/100</f>
        <v>0.22657181545530369</v>
      </c>
      <c r="E30" s="67">
        <f t="shared" si="2"/>
        <v>1.9217924920030688E-2</v>
      </c>
      <c r="F30" s="68">
        <f t="shared" si="3"/>
        <v>2.1322109249609475E-3</v>
      </c>
      <c r="G30" s="241"/>
    </row>
    <row r="31" spans="1:7" x14ac:dyDescent="0.25">
      <c r="A31" s="104" t="s">
        <v>26</v>
      </c>
      <c r="B31" s="66">
        <f>VLOOKUP(A31,'GVA-productivity1'!$A$55:$M$71,12,FALSE)</f>
        <v>6.5695521330675355E-2</v>
      </c>
      <c r="C31" s="66">
        <f>VLOOKUP($A31,'GVA-productivity1'!$A$34:$O$50,13,FALSE)/100</f>
        <v>5.343385942876213E-2</v>
      </c>
      <c r="D31" s="66">
        <f>VLOOKUP($A31,'GVA-productivity1'!$A$34:$O$50,14,FALSE)/100</f>
        <v>5.023054399244941E-2</v>
      </c>
      <c r="E31" s="67">
        <f t="shared" si="2"/>
        <v>-3.2033154363127203E-3</v>
      </c>
      <c r="F31" s="68">
        <f t="shared" si="3"/>
        <v>3.5103652518825509E-3</v>
      </c>
      <c r="G31" s="241"/>
    </row>
    <row r="32" spans="1:7" x14ac:dyDescent="0.25">
      <c r="A32" s="104" t="s">
        <v>46</v>
      </c>
      <c r="B32" s="66">
        <f>VLOOKUP("Finance and business services",'GVA-productivity1'!$A$55:$M$71,12,FALSE)</f>
        <v>1.4236355168439463E-2</v>
      </c>
      <c r="C32" s="66">
        <f>VLOOKUP("Finance and business services",'GVA-productivity1'!$A$34:$O$50,13,FALSE)/100</f>
        <v>7.5710350337735557E-2</v>
      </c>
      <c r="D32" s="66">
        <f>VLOOKUP("Finance and business services",'GVA-productivity1'!$A$34:$O$50,14,FALSE)/100</f>
        <v>9.5331160087797601E-2</v>
      </c>
      <c r="E32" s="67">
        <f t="shared" si="2"/>
        <v>1.9620809750062043E-2</v>
      </c>
      <c r="F32" s="68">
        <f t="shared" si="3"/>
        <v>1.0778394373349841E-3</v>
      </c>
      <c r="G32" s="241"/>
    </row>
    <row r="33" spans="1:7" x14ac:dyDescent="0.25">
      <c r="A33" s="104" t="s">
        <v>33</v>
      </c>
      <c r="B33" s="66">
        <f>VLOOKUP(A33,'GVA-productivity1'!$A$55:$M$71,12,FALSE)</f>
        <v>3.9914753570546857E-3</v>
      </c>
      <c r="C33" s="66">
        <f>VLOOKUP($A33,'GVA-productivity1'!$A$34:$O$50,13,FALSE)/100</f>
        <v>0.14612948995666941</v>
      </c>
      <c r="D33" s="66">
        <f>VLOOKUP($A33,'GVA-productivity1'!$A$34:$O$50,14,FALSE)/100</f>
        <v>0.14875706153669421</v>
      </c>
      <c r="E33" s="67">
        <f t="shared" si="2"/>
        <v>2.6275715800248012E-3</v>
      </c>
      <c r="F33" s="68">
        <f t="shared" si="3"/>
        <v>5.8327225810101617E-4</v>
      </c>
      <c r="G33" s="241"/>
    </row>
    <row r="34" spans="1:7" x14ac:dyDescent="0.25">
      <c r="A34" s="105" t="s">
        <v>34</v>
      </c>
      <c r="B34" s="66">
        <f>VLOOKUP("Other services",'GVA-productivity1'!$A$55:$M$71,12,FALSE)</f>
        <v>2.4590858664578219E-2</v>
      </c>
      <c r="C34" s="66">
        <f>VLOOKUP("Other services",'GVA-productivity1'!$A$34:$O$50,13,FALSE)/100</f>
        <v>0.10394653545304855</v>
      </c>
      <c r="D34" s="66">
        <f>VLOOKUP("Other services",'GVA-productivity1'!$A$34:$O$50,14,FALSE)/100</f>
        <v>0.10581561035695369</v>
      </c>
      <c r="E34" s="67">
        <f t="shared" si="2"/>
        <v>1.8690749039051435E-3</v>
      </c>
      <c r="F34" s="68">
        <f t="shared" si="3"/>
        <v>2.5561345619984858E-3</v>
      </c>
      <c r="G34" s="241"/>
    </row>
    <row r="35" spans="1:7" x14ac:dyDescent="0.25">
      <c r="A35" s="106" t="s">
        <v>77</v>
      </c>
      <c r="B35" s="123">
        <f>SUM(B25:B34)</f>
        <v>0.27335150428456279</v>
      </c>
      <c r="C35" s="123">
        <f>SUM(C25:C34)</f>
        <v>0.99999999999999978</v>
      </c>
      <c r="D35" s="123">
        <f>SUM(D25:D34)</f>
        <v>0.99999999999999978</v>
      </c>
      <c r="E35" s="69"/>
      <c r="F35" s="70">
        <f>SUM(F25:F34)</f>
        <v>2.7728033298695227E-2</v>
      </c>
      <c r="G35" s="242"/>
    </row>
    <row r="36" spans="1:7" x14ac:dyDescent="0.25">
      <c r="A36" s="107"/>
      <c r="B36" s="108">
        <f>+'GVA-productivity1'!L72</f>
        <v>0.27335150428456279</v>
      </c>
      <c r="C36" s="108"/>
      <c r="D36" s="108"/>
      <c r="E36" s="96"/>
      <c r="F36" s="96"/>
      <c r="G36" s="129"/>
    </row>
    <row r="37" spans="1:7" x14ac:dyDescent="0.25">
      <c r="A37" s="97"/>
      <c r="B37" s="135" t="s">
        <v>13</v>
      </c>
      <c r="C37" s="135">
        <v>2005</v>
      </c>
      <c r="D37" s="135">
        <v>2010</v>
      </c>
      <c r="E37" s="135" t="s">
        <v>59</v>
      </c>
      <c r="F37" s="99" t="s">
        <v>103</v>
      </c>
      <c r="G37" s="239"/>
    </row>
    <row r="38" spans="1:7" x14ac:dyDescent="0.25">
      <c r="A38" s="100" t="s">
        <v>37</v>
      </c>
      <c r="B38" s="66">
        <f>VLOOKUP(A38,'GVA-productivity1'!$A$55:$M$71,13,FALSE)</f>
        <v>2.3857345615940106E-2</v>
      </c>
      <c r="C38" s="66">
        <f>VLOOKUP($A38,'GVA-productivity1'!$A$34:$O$50,14,FALSE)/100</f>
        <v>1</v>
      </c>
      <c r="D38" s="66">
        <f>VLOOKUP($A38,'GVA-productivity1'!$A$34:$O$50,15,FALSE)/100</f>
        <v>1</v>
      </c>
      <c r="E38" s="101"/>
      <c r="F38" s="102"/>
      <c r="G38" s="240"/>
    </row>
    <row r="39" spans="1:7" x14ac:dyDescent="0.25">
      <c r="A39" s="103" t="s">
        <v>14</v>
      </c>
      <c r="B39" s="66">
        <f>VLOOKUP(A39,'GVA-productivity1'!$A$55:$M$71,13,FALSE)</f>
        <v>3.6279013403812677E-3</v>
      </c>
      <c r="C39" s="66">
        <f>VLOOKUP($A39,'GVA-productivity1'!$A$34:$O$50,14,FALSE)/100</f>
        <v>0.14294579619124245</v>
      </c>
      <c r="D39" s="66">
        <f>VLOOKUP($A39,'GVA-productivity1'!$A$34:$O$50,15,FALSE)/100</f>
        <v>0.15026934587430527</v>
      </c>
      <c r="E39" s="67">
        <f t="shared" ref="E39:E48" si="4">+D39-C39</f>
        <v>7.3235496830628133E-3</v>
      </c>
      <c r="F39" s="68">
        <f t="shared" ref="F39:F48" si="5">+B39*C39</f>
        <v>5.1859324560407595E-4</v>
      </c>
      <c r="G39" s="241"/>
    </row>
    <row r="40" spans="1:7" x14ac:dyDescent="0.25">
      <c r="A40" s="104" t="s">
        <v>19</v>
      </c>
      <c r="B40" s="66">
        <f>VLOOKUP(A40,'GVA-productivity1'!$A$55:$M$71,13,FALSE)</f>
        <v>1.0338050835237755E-2</v>
      </c>
      <c r="C40" s="66">
        <f>VLOOKUP($A40,'GVA-productivity1'!$A$34:$O$50,14,FALSE)/100</f>
        <v>2.4438406509801627E-2</v>
      </c>
      <c r="D40" s="66">
        <f>VLOOKUP($A40,'GVA-productivity1'!$A$34:$O$50,15,FALSE)/100</f>
        <v>2.08636169303121E-2</v>
      </c>
      <c r="E40" s="67">
        <f t="shared" si="4"/>
        <v>-3.5747895794895276E-3</v>
      </c>
      <c r="F40" s="68">
        <f t="shared" si="5"/>
        <v>2.526454888305345E-4</v>
      </c>
      <c r="G40" s="241"/>
    </row>
    <row r="41" spans="1:7" x14ac:dyDescent="0.25">
      <c r="A41" s="104" t="s">
        <v>20</v>
      </c>
      <c r="B41" s="66">
        <f>VLOOKUP(A41,'GVA-productivity1'!$A$55:$M$71,13,FALSE)</f>
        <v>3.1014737611580134E-2</v>
      </c>
      <c r="C41" s="66">
        <f>VLOOKUP($A41,'GVA-productivity1'!$A$34:$O$50,14,FALSE)/100</f>
        <v>0.13252313734178142</v>
      </c>
      <c r="D41" s="66">
        <f>VLOOKUP($A41,'GVA-productivity1'!$A$34:$O$50,15,FALSE)/100</f>
        <v>0.1189568191534844</v>
      </c>
      <c r="E41" s="67">
        <f t="shared" si="4"/>
        <v>-1.3566318188297025E-2</v>
      </c>
      <c r="F41" s="68">
        <f t="shared" si="5"/>
        <v>4.1101703321187481E-3</v>
      </c>
      <c r="G41" s="241"/>
    </row>
    <row r="42" spans="1:7" x14ac:dyDescent="0.25">
      <c r="A42" s="104" t="s">
        <v>21</v>
      </c>
      <c r="B42" s="66">
        <f>VLOOKUP(A42,'GVA-productivity1'!$A$55:$M$71,13,FALSE)</f>
        <v>1.4249682543727271E-2</v>
      </c>
      <c r="C42" s="66">
        <f>VLOOKUP($A42,'GVA-productivity1'!$A$34:$O$50,14,FALSE)/100</f>
        <v>6.6261568670890718E-3</v>
      </c>
      <c r="D42" s="66">
        <f>VLOOKUP($A42,'GVA-productivity1'!$A$34:$O$50,15,FALSE)/100</f>
        <v>6.1564771269773414E-3</v>
      </c>
      <c r="E42" s="67">
        <f t="shared" si="4"/>
        <v>-4.6967974011173034E-4</v>
      </c>
      <c r="F42" s="68">
        <f t="shared" si="5"/>
        <v>9.4420631840957736E-5</v>
      </c>
      <c r="G42" s="241"/>
    </row>
    <row r="43" spans="1:7" x14ac:dyDescent="0.25">
      <c r="A43" s="104" t="s">
        <v>22</v>
      </c>
      <c r="B43" s="66">
        <f>VLOOKUP(A43,'GVA-productivity1'!$A$55:$M$71,13,FALSE)</f>
        <v>5.7842121931393597E-2</v>
      </c>
      <c r="C43" s="66">
        <f>VLOOKUP($A43,'GVA-productivity1'!$A$34:$O$50,14,FALSE)/100</f>
        <v>6.6760311660886681E-2</v>
      </c>
      <c r="D43" s="66">
        <f>VLOOKUP($A43,'GVA-productivity1'!$A$34:$O$50,15,FALSE)/100</f>
        <v>7.2509619495510907E-2</v>
      </c>
      <c r="E43" s="67">
        <f t="shared" si="4"/>
        <v>5.749307834624226E-3</v>
      </c>
      <c r="F43" s="68">
        <f t="shared" si="5"/>
        <v>3.8615580872668454E-3</v>
      </c>
      <c r="G43" s="241"/>
    </row>
    <row r="44" spans="1:7" x14ac:dyDescent="0.25">
      <c r="A44" s="104" t="s">
        <v>25</v>
      </c>
      <c r="B44" s="66">
        <f>VLOOKUP(A44,'GVA-productivity1'!$A$55:$M$71,13,FALSE)</f>
        <v>4.5902152379368122E-2</v>
      </c>
      <c r="C44" s="66">
        <f>VLOOKUP($A44,'GVA-productivity1'!$A$34:$O$50,14,FALSE)/100</f>
        <v>0.22657181545530369</v>
      </c>
      <c r="D44" s="66">
        <f>VLOOKUP($A44,'GVA-productivity1'!$A$34:$O$50,15,FALSE)/100</f>
        <v>0.20022231722958531</v>
      </c>
      <c r="E44" s="67">
        <f t="shared" si="4"/>
        <v>-2.6349498225718387E-2</v>
      </c>
      <c r="F44" s="68">
        <f t="shared" si="5"/>
        <v>1.0400133997899423E-2</v>
      </c>
      <c r="G44" s="241"/>
    </row>
    <row r="45" spans="1:7" x14ac:dyDescent="0.25">
      <c r="A45" s="104" t="s">
        <v>26</v>
      </c>
      <c r="B45" s="66">
        <f>VLOOKUP(A45,'GVA-productivity1'!$A$55:$M$71,13,FALSE)</f>
        <v>1.7847202190930833E-2</v>
      </c>
      <c r="C45" s="66">
        <f>VLOOKUP($A45,'GVA-productivity1'!$A$34:$O$50,14,FALSE)/100</f>
        <v>5.023054399244941E-2</v>
      </c>
      <c r="D45" s="66">
        <f>VLOOKUP($A45,'GVA-productivity1'!$A$34:$O$50,15,FALSE)/100</f>
        <v>5.2945703292005132E-2</v>
      </c>
      <c r="E45" s="67">
        <f t="shared" si="4"/>
        <v>2.7151592995557222E-3</v>
      </c>
      <c r="F45" s="68">
        <f t="shared" si="5"/>
        <v>8.9647467479369073E-4</v>
      </c>
      <c r="G45" s="241"/>
    </row>
    <row r="46" spans="1:7" x14ac:dyDescent="0.25">
      <c r="A46" s="104" t="s">
        <v>46</v>
      </c>
      <c r="B46" s="66">
        <f>VLOOKUP("Finance and business services",'GVA-productivity1'!$A$55:$M$71,13,FALSE)</f>
        <v>2.06909805923714E-2</v>
      </c>
      <c r="C46" s="66">
        <f>VLOOKUP("Finance and business services",'GVA-productivity1'!$A$34:$O$50,14,FALSE)/100</f>
        <v>9.5331160087797601E-2</v>
      </c>
      <c r="D46" s="66">
        <f>VLOOKUP("Finance and business services",'GVA-productivity1'!$A$34:$O$50,15,FALSE)/100</f>
        <v>0.11327917913638305</v>
      </c>
      <c r="E46" s="67">
        <f t="shared" si="4"/>
        <v>1.7948019048585451E-2</v>
      </c>
      <c r="F46" s="68">
        <f t="shared" si="5"/>
        <v>1.9724951832248709E-3</v>
      </c>
      <c r="G46" s="241"/>
    </row>
    <row r="47" spans="1:7" x14ac:dyDescent="0.25">
      <c r="A47" s="104" t="s">
        <v>33</v>
      </c>
      <c r="B47" s="66">
        <f>VLOOKUP(A47,'GVA-productivity1'!$A$55:$M$71,13,FALSE)</f>
        <v>1.9462742929299059E-2</v>
      </c>
      <c r="C47" s="66">
        <f>VLOOKUP($A47,'GVA-productivity1'!$A$34:$O$50,14,FALSE)/100</f>
        <v>0.14875706153669421</v>
      </c>
      <c r="D47" s="66">
        <f>VLOOKUP($A47,'GVA-productivity1'!$A$34:$O$50,15,FALSE)/100</f>
        <v>0.15473150237292255</v>
      </c>
      <c r="E47" s="67">
        <f t="shared" si="4"/>
        <v>5.9744408362283341E-3</v>
      </c>
      <c r="F47" s="68">
        <f t="shared" si="5"/>
        <v>2.8952204476066002E-3</v>
      </c>
      <c r="G47" s="241"/>
    </row>
    <row r="48" spans="1:7" x14ac:dyDescent="0.25">
      <c r="A48" s="105" t="s">
        <v>34</v>
      </c>
      <c r="B48" s="66">
        <f>VLOOKUP("Other services",'GVA-productivity1'!$A$55:$M$71,13,FALSE)</f>
        <v>8.6441541664816768E-3</v>
      </c>
      <c r="C48" s="66">
        <f>VLOOKUP("Other services",'GVA-productivity1'!$A$34:$O$50,14,FALSE)/100</f>
        <v>0.10581561035695369</v>
      </c>
      <c r="D48" s="66">
        <f>VLOOKUP("Other services",'GVA-productivity1'!$A$34:$O$50,15,FALSE)/100</f>
        <v>0.11006541938851397</v>
      </c>
      <c r="E48" s="67">
        <f t="shared" si="4"/>
        <v>4.2498090315602755E-3</v>
      </c>
      <c r="F48" s="68">
        <f t="shared" si="5"/>
        <v>9.1468644914586292E-4</v>
      </c>
      <c r="G48" s="241"/>
    </row>
    <row r="49" spans="1:7" x14ac:dyDescent="0.25">
      <c r="A49" s="106" t="s">
        <v>77</v>
      </c>
      <c r="B49" s="123">
        <f>SUM(B39:B48)</f>
        <v>0.22961972652077112</v>
      </c>
      <c r="C49" s="123">
        <f>SUM(C39:C48)</f>
        <v>0.99999999999999978</v>
      </c>
      <c r="D49" s="123">
        <f>SUM(D39:D48)</f>
        <v>1</v>
      </c>
      <c r="E49" s="69"/>
      <c r="F49" s="70">
        <f>SUM(F39:F48)</f>
        <v>2.5916398538331612E-2</v>
      </c>
      <c r="G49" s="242"/>
    </row>
    <row r="50" spans="1:7" x14ac:dyDescent="0.25">
      <c r="A50" s="107"/>
      <c r="B50" s="108">
        <f>+'GVA-productivity1'!M72</f>
        <v>0.22961972652077112</v>
      </c>
      <c r="C50" s="108"/>
      <c r="D50" s="108"/>
      <c r="E50" s="109"/>
      <c r="F50" s="110"/>
      <c r="G50" s="110"/>
    </row>
    <row r="51" spans="1:7" x14ac:dyDescent="0.25">
      <c r="A51" s="111"/>
      <c r="B51" s="109"/>
      <c r="C51" s="109"/>
      <c r="D51" s="109"/>
    </row>
    <row r="52" spans="1:7" x14ac:dyDescent="0.25">
      <c r="A52" s="111"/>
      <c r="B52" s="109"/>
      <c r="C52" s="109"/>
      <c r="D52" s="109"/>
    </row>
    <row r="53" spans="1:7" x14ac:dyDescent="0.25">
      <c r="A53" s="111"/>
      <c r="B53" s="109"/>
      <c r="C53" s="109"/>
      <c r="D53" s="109"/>
    </row>
    <row r="54" spans="1:7" x14ac:dyDescent="0.25">
      <c r="A54" s="111"/>
      <c r="B54" s="109"/>
      <c r="C54" s="109"/>
      <c r="D54" s="10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1"/>
  <sheetViews>
    <sheetView showGridLines="0" workbookViewId="0">
      <selection activeCell="D4" sqref="D4"/>
    </sheetView>
  </sheetViews>
  <sheetFormatPr defaultRowHeight="12" x14ac:dyDescent="0.25"/>
  <cols>
    <col min="2" max="2" width="29.5703125" customWidth="1"/>
    <col min="3" max="6" width="14.140625" customWidth="1"/>
  </cols>
  <sheetData>
    <row r="1" spans="1:17" ht="14.4" x14ac:dyDescent="0.25">
      <c r="A1" s="147" t="s">
        <v>81</v>
      </c>
    </row>
    <row r="2" spans="1:17" x14ac:dyDescent="0.25">
      <c r="A2" s="284" t="s">
        <v>116</v>
      </c>
    </row>
    <row r="3" spans="1:17" x14ac:dyDescent="0.25">
      <c r="A3" s="285"/>
      <c r="C3" s="285"/>
      <c r="D3" s="285"/>
      <c r="E3" s="285"/>
      <c r="F3" s="274"/>
    </row>
    <row r="4" spans="1:17" x14ac:dyDescent="0.25">
      <c r="A4" s="286"/>
      <c r="B4" s="96"/>
      <c r="C4" s="286"/>
      <c r="D4" s="287" t="s">
        <v>117</v>
      </c>
      <c r="E4" s="286"/>
      <c r="F4" s="275"/>
    </row>
    <row r="5" spans="1:17" ht="48" x14ac:dyDescent="0.25">
      <c r="A5" s="149" t="s">
        <v>83</v>
      </c>
      <c r="B5" s="150" t="s">
        <v>2</v>
      </c>
      <c r="C5" s="151" t="s">
        <v>80</v>
      </c>
      <c r="D5" s="151" t="s">
        <v>82</v>
      </c>
      <c r="E5" s="151" t="s">
        <v>84</v>
      </c>
      <c r="F5" s="151" t="s">
        <v>82</v>
      </c>
      <c r="H5" s="149"/>
      <c r="I5" s="149" t="s">
        <v>14</v>
      </c>
      <c r="J5" s="224" t="s">
        <v>60</v>
      </c>
      <c r="K5" s="149" t="s">
        <v>61</v>
      </c>
      <c r="L5" s="149" t="s">
        <v>27</v>
      </c>
      <c r="M5" s="224" t="s">
        <v>33</v>
      </c>
      <c r="N5" s="149" t="s">
        <v>20</v>
      </c>
      <c r="O5" s="224" t="s">
        <v>63</v>
      </c>
      <c r="P5" s="224" t="s">
        <v>19</v>
      </c>
      <c r="Q5" s="149"/>
    </row>
    <row r="6" spans="1:17" x14ac:dyDescent="0.25">
      <c r="A6" s="148">
        <v>1</v>
      </c>
      <c r="B6" s="136" t="s">
        <v>14</v>
      </c>
      <c r="C6" s="144">
        <f>VLOOKUP($B6,'GVA-productivity1'!$A$34:$O$50,15,FALSE)/100</f>
        <v>0.15026934587430527</v>
      </c>
      <c r="D6" s="142">
        <f>VLOOKUP($B6,'GVA-productivity1'!$A$34:$U$50,21,FALSE)</f>
        <v>0.18156016966710073</v>
      </c>
      <c r="E6" s="145">
        <f>+C6</f>
        <v>0.15026934587430527</v>
      </c>
      <c r="F6" s="142">
        <f>+D6</f>
        <v>0.18156016966710073</v>
      </c>
      <c r="H6" s="225">
        <v>0</v>
      </c>
      <c r="I6" s="226">
        <v>0</v>
      </c>
      <c r="J6" s="226"/>
      <c r="K6" s="226"/>
      <c r="L6" s="226"/>
      <c r="M6" s="226"/>
      <c r="N6" s="226"/>
      <c r="O6" s="226"/>
      <c r="P6" s="226"/>
      <c r="Q6" s="226">
        <v>0</v>
      </c>
    </row>
    <row r="7" spans="1:17" x14ac:dyDescent="0.25">
      <c r="A7" s="148">
        <v>8</v>
      </c>
      <c r="B7" s="136" t="s">
        <v>60</v>
      </c>
      <c r="C7" s="144">
        <f>VLOOKUP("Other services",'GVA-productivity1'!$A$34:$O$50,15,FALSE)/100</f>
        <v>0.11006541938851397</v>
      </c>
      <c r="D7" s="142">
        <f>VLOOKUP("Other services",'GVA-productivity1'!$A$34:$U$50,21,FALSE)</f>
        <v>0.59469739278945077</v>
      </c>
      <c r="E7" s="145">
        <f>+C7+E6</f>
        <v>0.26033476526281923</v>
      </c>
      <c r="F7" s="142">
        <f t="shared" ref="F7:F13" si="0">+D7</f>
        <v>0.59469739278945077</v>
      </c>
      <c r="H7" s="225">
        <v>0</v>
      </c>
      <c r="I7" s="227">
        <f>+$F$6</f>
        <v>0.18156016966710073</v>
      </c>
      <c r="J7" s="226"/>
      <c r="K7" s="226"/>
      <c r="L7" s="226"/>
      <c r="M7" s="226"/>
      <c r="N7" s="226"/>
      <c r="O7" s="226"/>
      <c r="P7" s="226"/>
      <c r="Q7" s="226">
        <v>0</v>
      </c>
    </row>
    <row r="8" spans="1:17" x14ac:dyDescent="0.25">
      <c r="A8" s="148">
        <v>4</v>
      </c>
      <c r="B8" s="137" t="s">
        <v>61</v>
      </c>
      <c r="C8" s="144">
        <f>VLOOKUP($B8,'GVA-productivity1'!$A$34:$O$50,15,FALSE)/100</f>
        <v>7.8666096622488246E-2</v>
      </c>
      <c r="D8" s="142">
        <f>VLOOKUP($B8,'GVA-productivity1'!$A$34:$U$50,21,FALSE)</f>
        <v>0.76571228354393439</v>
      </c>
      <c r="E8" s="145">
        <f t="shared" ref="E8:E13" si="1">+C8+E7</f>
        <v>0.33900086188530748</v>
      </c>
      <c r="F8" s="142">
        <f t="shared" si="0"/>
        <v>0.76571228354393439</v>
      </c>
      <c r="H8" s="225">
        <f>AVERAGE(H7,H9)</f>
        <v>7.5134672937152631</v>
      </c>
      <c r="I8" s="227">
        <f>+$F$6</f>
        <v>0.18156016966710073</v>
      </c>
      <c r="J8" s="226"/>
      <c r="K8" s="226"/>
      <c r="L8" s="226"/>
      <c r="M8" s="226"/>
      <c r="N8" s="226"/>
      <c r="O8" s="226"/>
      <c r="P8" s="226"/>
      <c r="Q8" s="226">
        <v>0</v>
      </c>
    </row>
    <row r="9" spans="1:17" x14ac:dyDescent="0.25">
      <c r="A9" s="148">
        <v>5</v>
      </c>
      <c r="B9" s="137" t="s">
        <v>27</v>
      </c>
      <c r="C9" s="144">
        <f>VLOOKUP($B9,'GVA-productivity1'!$A$34:$O$50,15,FALSE)/100</f>
        <v>0.25316802052159043</v>
      </c>
      <c r="D9" s="142">
        <f>VLOOKUP($B9,'GVA-productivity1'!$A$34:$U$50,21,FALSE)</f>
        <v>1.0128632558992603</v>
      </c>
      <c r="E9" s="145">
        <f t="shared" si="1"/>
        <v>0.59216888240689791</v>
      </c>
      <c r="F9" s="142">
        <f t="shared" si="0"/>
        <v>1.0128632558992603</v>
      </c>
      <c r="H9" s="225">
        <f>+$E$6*100</f>
        <v>15.026934587430526</v>
      </c>
      <c r="I9" s="227">
        <f>+$F$6</f>
        <v>0.18156016966710073</v>
      </c>
      <c r="J9" s="226">
        <v>0</v>
      </c>
      <c r="K9" s="226"/>
      <c r="L9" s="226"/>
      <c r="M9" s="226"/>
      <c r="N9" s="226"/>
      <c r="O9" s="226"/>
      <c r="P9" s="226"/>
      <c r="Q9" s="226">
        <v>0</v>
      </c>
    </row>
    <row r="10" spans="1:17" x14ac:dyDescent="0.25">
      <c r="A10" s="148">
        <v>7</v>
      </c>
      <c r="B10" s="136" t="s">
        <v>33</v>
      </c>
      <c r="C10" s="144">
        <f>VLOOKUP($B10,'GVA-productivity1'!$A$34:$O$50,15,FALSE)/100</f>
        <v>0.15473150237292255</v>
      </c>
      <c r="D10" s="142">
        <f>VLOOKUP($B10,'GVA-productivity1'!$A$34:$U$50,21,FALSE)</f>
        <v>1.0520728502482102</v>
      </c>
      <c r="E10" s="145">
        <f t="shared" si="1"/>
        <v>0.74690038477982046</v>
      </c>
      <c r="F10" s="142">
        <f t="shared" si="0"/>
        <v>1.0520728502482102</v>
      </c>
      <c r="H10" s="225">
        <f>+$E$6*100</f>
        <v>15.026934587430526</v>
      </c>
      <c r="I10" s="226">
        <v>0</v>
      </c>
      <c r="J10" s="228">
        <f>+$F$7</f>
        <v>0.59469739278945077</v>
      </c>
      <c r="K10" s="226"/>
      <c r="L10" s="226"/>
      <c r="M10" s="226"/>
      <c r="N10" s="226"/>
      <c r="O10" s="226"/>
      <c r="P10" s="226"/>
      <c r="Q10" s="226">
        <v>0</v>
      </c>
    </row>
    <row r="11" spans="1:17" x14ac:dyDescent="0.25">
      <c r="A11" s="148">
        <v>3</v>
      </c>
      <c r="B11" s="136" t="s">
        <v>20</v>
      </c>
      <c r="C11" s="144">
        <f>VLOOKUP($B11,'GVA-productivity1'!$A$34:$O$50,15,FALSE)/100</f>
        <v>0.1189568191534844</v>
      </c>
      <c r="D11" s="142">
        <f>VLOOKUP($B11,'GVA-productivity1'!$A$34:$U$50,21,FALSE)</f>
        <v>1.5521556017400497</v>
      </c>
      <c r="E11" s="145">
        <f t="shared" si="1"/>
        <v>0.8658572039333049</v>
      </c>
      <c r="F11" s="142">
        <f t="shared" si="0"/>
        <v>1.5521556017400497</v>
      </c>
      <c r="H11" s="225">
        <f>AVERAGE(H10,H12)</f>
        <v>20.530205556856224</v>
      </c>
      <c r="I11" s="226"/>
      <c r="J11" s="228">
        <f>+$F$7</f>
        <v>0.59469739278945077</v>
      </c>
      <c r="K11" s="226"/>
      <c r="L11" s="226"/>
      <c r="M11" s="226"/>
      <c r="N11" s="226"/>
      <c r="O11" s="226"/>
      <c r="P11" s="226"/>
      <c r="Q11" s="226">
        <v>0</v>
      </c>
    </row>
    <row r="12" spans="1:17" x14ac:dyDescent="0.25">
      <c r="A12" s="148">
        <v>6</v>
      </c>
      <c r="B12" s="136" t="s">
        <v>63</v>
      </c>
      <c r="C12" s="144">
        <f>VLOOKUP($B12,'GVA-productivity1'!$A$34:$O$50,15,FALSE)/100</f>
        <v>0.11327917913638305</v>
      </c>
      <c r="D12" s="142">
        <f>VLOOKUP($B12,'GVA-productivity1'!$A$34:$U$50,21,FALSE)</f>
        <v>1.5736007615712337</v>
      </c>
      <c r="E12" s="145">
        <f t="shared" si="1"/>
        <v>0.97913638306968798</v>
      </c>
      <c r="F12" s="142">
        <f t="shared" si="0"/>
        <v>1.5736007615712337</v>
      </c>
      <c r="H12" s="225">
        <f>+$E$7*100</f>
        <v>26.033476526281923</v>
      </c>
      <c r="I12" s="226"/>
      <c r="J12" s="228">
        <f>+$F$7</f>
        <v>0.59469739278945077</v>
      </c>
      <c r="K12" s="226">
        <v>0</v>
      </c>
      <c r="L12" s="226"/>
      <c r="M12" s="226"/>
      <c r="N12" s="226"/>
      <c r="O12" s="226"/>
      <c r="P12" s="226"/>
      <c r="Q12" s="226">
        <v>0</v>
      </c>
    </row>
    <row r="13" spans="1:17" x14ac:dyDescent="0.25">
      <c r="A13" s="148">
        <v>2</v>
      </c>
      <c r="B13" s="136" t="s">
        <v>19</v>
      </c>
      <c r="C13" s="144">
        <f>VLOOKUP($B13,'GVA-productivity1'!$A$34:$O$50,15,FALSE)/100</f>
        <v>2.08636169303121E-2</v>
      </c>
      <c r="D13" s="142">
        <f>VLOOKUP($B13,'GVA-productivity1'!$A$34:$U$50,21,FALSE)</f>
        <v>3.1114817628236207</v>
      </c>
      <c r="E13" s="145">
        <f t="shared" si="1"/>
        <v>1</v>
      </c>
      <c r="F13" s="142">
        <f t="shared" si="0"/>
        <v>3.1114817628236207</v>
      </c>
      <c r="H13" s="225">
        <f>+$E$7*100</f>
        <v>26.033476526281923</v>
      </c>
      <c r="I13" s="226"/>
      <c r="J13" s="226">
        <v>0</v>
      </c>
      <c r="K13" s="229">
        <f>+$F$8</f>
        <v>0.76571228354393439</v>
      </c>
      <c r="L13" s="226"/>
      <c r="M13" s="226"/>
      <c r="N13" s="226"/>
      <c r="O13" s="226"/>
      <c r="P13" s="226"/>
      <c r="Q13" s="226">
        <v>0</v>
      </c>
    </row>
    <row r="14" spans="1:17" x14ac:dyDescent="0.25">
      <c r="B14" s="152" t="s">
        <v>57</v>
      </c>
      <c r="C14" s="143">
        <f>SUM(C6:C13)</f>
        <v>1</v>
      </c>
      <c r="D14" s="143">
        <f>SUM(D6:D13)</f>
        <v>9.8441440782828593</v>
      </c>
      <c r="E14" s="146"/>
      <c r="F14" s="146"/>
      <c r="H14" s="225">
        <f>AVERAGE(H13,H15)</f>
        <v>29.966781357406337</v>
      </c>
      <c r="I14" s="226"/>
      <c r="J14" s="226"/>
      <c r="K14" s="229">
        <f>+$F$8</f>
        <v>0.76571228354393439</v>
      </c>
      <c r="L14" s="226"/>
      <c r="M14" s="226"/>
      <c r="N14" s="226"/>
      <c r="O14" s="226"/>
      <c r="P14" s="226"/>
      <c r="Q14" s="226">
        <v>0</v>
      </c>
    </row>
    <row r="15" spans="1:17" x14ac:dyDescent="0.25">
      <c r="H15" s="225">
        <f>+$E$8*100</f>
        <v>33.90008618853075</v>
      </c>
      <c r="I15" s="226"/>
      <c r="J15" s="226"/>
      <c r="K15" s="229">
        <f>+$F$8</f>
        <v>0.76571228354393439</v>
      </c>
      <c r="L15" s="226">
        <v>0</v>
      </c>
      <c r="M15" s="226"/>
      <c r="N15" s="226"/>
      <c r="O15" s="226"/>
      <c r="P15" s="226"/>
      <c r="Q15" s="226">
        <v>0</v>
      </c>
    </row>
    <row r="16" spans="1:17" x14ac:dyDescent="0.25">
      <c r="A16" s="153"/>
      <c r="B16" s="154"/>
      <c r="H16" s="225">
        <f>+$E$8*100</f>
        <v>33.90008618853075</v>
      </c>
      <c r="I16" s="226"/>
      <c r="J16" s="226"/>
      <c r="K16" s="226">
        <v>0</v>
      </c>
      <c r="L16" s="230">
        <f>+$F$9</f>
        <v>1.0128632558992603</v>
      </c>
      <c r="M16" s="226"/>
      <c r="N16" s="226"/>
      <c r="O16" s="226"/>
      <c r="P16" s="226"/>
      <c r="Q16" s="226">
        <v>0</v>
      </c>
    </row>
    <row r="17" spans="8:17" x14ac:dyDescent="0.25">
      <c r="H17" s="225">
        <f>AVERAGE(H16,H18)</f>
        <v>46.558487214610267</v>
      </c>
      <c r="I17" s="226"/>
      <c r="J17" s="226"/>
      <c r="K17" s="226"/>
      <c r="L17" s="230">
        <f>+$F$9</f>
        <v>1.0128632558992603</v>
      </c>
      <c r="M17" s="226"/>
      <c r="N17" s="226"/>
      <c r="O17" s="226"/>
      <c r="P17" s="226"/>
      <c r="Q17" s="226">
        <v>0</v>
      </c>
    </row>
    <row r="18" spans="8:17" x14ac:dyDescent="0.25">
      <c r="H18" s="225">
        <f>+$E$9*100</f>
        <v>59.216888240689791</v>
      </c>
      <c r="I18" s="226"/>
      <c r="J18" s="226"/>
      <c r="K18" s="226"/>
      <c r="L18" s="230">
        <f>+$F$9</f>
        <v>1.0128632558992603</v>
      </c>
      <c r="M18" s="226">
        <v>0</v>
      </c>
      <c r="N18" s="226"/>
      <c r="O18" s="226"/>
      <c r="P18" s="226"/>
      <c r="Q18" s="226">
        <v>0</v>
      </c>
    </row>
    <row r="19" spans="8:17" x14ac:dyDescent="0.25">
      <c r="H19" s="225">
        <f>+$E$9*100</f>
        <v>59.216888240689791</v>
      </c>
      <c r="I19" s="226"/>
      <c r="J19" s="226"/>
      <c r="K19" s="226"/>
      <c r="L19" s="226">
        <v>0</v>
      </c>
      <c r="M19" s="230">
        <f>+$F$10</f>
        <v>1.0520728502482102</v>
      </c>
      <c r="N19" s="226"/>
      <c r="O19" s="226"/>
      <c r="P19" s="226"/>
      <c r="Q19" s="226">
        <v>0</v>
      </c>
    </row>
    <row r="20" spans="8:17" x14ac:dyDescent="0.25">
      <c r="H20" s="225">
        <f>AVERAGE(H19,H21)</f>
        <v>66.953463359335913</v>
      </c>
      <c r="I20" s="226"/>
      <c r="J20" s="226"/>
      <c r="K20" s="226"/>
      <c r="L20" s="226"/>
      <c r="M20" s="230">
        <f>+$F$10</f>
        <v>1.0520728502482102</v>
      </c>
      <c r="N20" s="226"/>
      <c r="O20" s="226"/>
      <c r="P20" s="226"/>
      <c r="Q20" s="226">
        <v>0</v>
      </c>
    </row>
    <row r="21" spans="8:17" x14ac:dyDescent="0.25">
      <c r="H21" s="225">
        <f>+$E$10*100</f>
        <v>74.690038477982043</v>
      </c>
      <c r="I21" s="226"/>
      <c r="J21" s="226"/>
      <c r="K21" s="226"/>
      <c r="L21" s="226"/>
      <c r="M21" s="230">
        <f>+$F$10</f>
        <v>1.0520728502482102</v>
      </c>
      <c r="N21" s="226">
        <v>0</v>
      </c>
      <c r="O21" s="226"/>
      <c r="P21" s="226"/>
      <c r="Q21" s="226">
        <v>0</v>
      </c>
    </row>
    <row r="22" spans="8:17" x14ac:dyDescent="0.25">
      <c r="H22" s="225">
        <f>+$E$10*100</f>
        <v>74.690038477982043</v>
      </c>
      <c r="I22" s="226"/>
      <c r="J22" s="226"/>
      <c r="K22" s="226"/>
      <c r="L22" s="226"/>
      <c r="M22" s="226">
        <v>0</v>
      </c>
      <c r="N22" s="230">
        <f>+$F$11</f>
        <v>1.5521556017400497</v>
      </c>
      <c r="O22" s="226"/>
      <c r="P22" s="226"/>
      <c r="Q22" s="226">
        <v>0</v>
      </c>
    </row>
    <row r="23" spans="8:17" x14ac:dyDescent="0.25">
      <c r="H23" s="225">
        <f>AVERAGE(H22,H24)</f>
        <v>80.637879435656259</v>
      </c>
      <c r="I23" s="226"/>
      <c r="J23" s="226"/>
      <c r="K23" s="226"/>
      <c r="L23" s="226"/>
      <c r="M23" s="226"/>
      <c r="N23" s="230">
        <f>+$F$11</f>
        <v>1.5521556017400497</v>
      </c>
      <c r="O23" s="226"/>
      <c r="P23" s="226"/>
      <c r="Q23" s="226">
        <v>0</v>
      </c>
    </row>
    <row r="24" spans="8:17" x14ac:dyDescent="0.25">
      <c r="H24" s="225">
        <f>+$E$11*100</f>
        <v>86.58572039333049</v>
      </c>
      <c r="I24" s="226"/>
      <c r="J24" s="226"/>
      <c r="K24" s="226"/>
      <c r="L24" s="226"/>
      <c r="M24" s="226"/>
      <c r="N24" s="230">
        <f>+$F$11</f>
        <v>1.5521556017400497</v>
      </c>
      <c r="O24" s="226">
        <v>0</v>
      </c>
      <c r="P24" s="226"/>
      <c r="Q24" s="226">
        <v>0</v>
      </c>
    </row>
    <row r="25" spans="8:17" x14ac:dyDescent="0.25">
      <c r="H25" s="225">
        <f>+$E$11*100</f>
        <v>86.58572039333049</v>
      </c>
      <c r="I25" s="226"/>
      <c r="J25" s="226"/>
      <c r="K25" s="226"/>
      <c r="L25" s="226"/>
      <c r="M25" s="226"/>
      <c r="N25" s="226">
        <v>0</v>
      </c>
      <c r="O25" s="230">
        <f>+$F$12</f>
        <v>1.5736007615712337</v>
      </c>
      <c r="P25" s="226"/>
      <c r="Q25" s="226">
        <v>0</v>
      </c>
    </row>
    <row r="26" spans="8:17" x14ac:dyDescent="0.25">
      <c r="H26" s="225">
        <f>AVERAGE(H25,H27)</f>
        <v>92.249679350149648</v>
      </c>
      <c r="I26" s="226"/>
      <c r="J26" s="226"/>
      <c r="K26" s="226"/>
      <c r="L26" s="226"/>
      <c r="M26" s="226"/>
      <c r="N26" s="226"/>
      <c r="O26" s="230">
        <f>+$F$12</f>
        <v>1.5736007615712337</v>
      </c>
      <c r="P26" s="226"/>
      <c r="Q26" s="226">
        <v>0</v>
      </c>
    </row>
    <row r="27" spans="8:17" x14ac:dyDescent="0.25">
      <c r="H27" s="225">
        <f>+$E$12*100</f>
        <v>97.913638306968792</v>
      </c>
      <c r="I27" s="226"/>
      <c r="J27" s="226"/>
      <c r="K27" s="226"/>
      <c r="L27" s="226"/>
      <c r="M27" s="226"/>
      <c r="N27" s="226"/>
      <c r="O27" s="230">
        <f>+$F$12</f>
        <v>1.5736007615712337</v>
      </c>
      <c r="P27" s="226">
        <v>0</v>
      </c>
      <c r="Q27" s="226">
        <v>0</v>
      </c>
    </row>
    <row r="28" spans="8:17" x14ac:dyDescent="0.25">
      <c r="H28" s="225">
        <f>+$E$12*100</f>
        <v>97.913638306968792</v>
      </c>
      <c r="I28" s="226"/>
      <c r="J28" s="226"/>
      <c r="K28" s="226"/>
      <c r="L28" s="226"/>
      <c r="M28" s="226"/>
      <c r="N28" s="226"/>
      <c r="O28" s="226">
        <v>0</v>
      </c>
      <c r="P28" s="230">
        <f>+$F$13</f>
        <v>3.1114817628236207</v>
      </c>
      <c r="Q28" s="226">
        <v>0</v>
      </c>
    </row>
    <row r="29" spans="8:17" x14ac:dyDescent="0.25">
      <c r="H29" s="225">
        <f>AVERAGE(H28,H30)</f>
        <v>98.956819153484389</v>
      </c>
      <c r="I29" s="226"/>
      <c r="J29" s="226"/>
      <c r="K29" s="226"/>
      <c r="L29" s="226"/>
      <c r="M29" s="226"/>
      <c r="N29" s="226"/>
      <c r="O29" s="226"/>
      <c r="P29" s="230">
        <f>+$F$13</f>
        <v>3.1114817628236207</v>
      </c>
      <c r="Q29" s="226">
        <v>0</v>
      </c>
    </row>
    <row r="30" spans="8:17" x14ac:dyDescent="0.25">
      <c r="H30" s="225">
        <f>+$E$13*100</f>
        <v>100</v>
      </c>
      <c r="I30" s="226"/>
      <c r="J30" s="226"/>
      <c r="K30" s="226"/>
      <c r="L30" s="226"/>
      <c r="M30" s="226"/>
      <c r="N30" s="226"/>
      <c r="O30" s="226"/>
      <c r="P30" s="230">
        <f>+$F$13</f>
        <v>3.1114817628236207</v>
      </c>
      <c r="Q30" s="226">
        <v>0</v>
      </c>
    </row>
    <row r="31" spans="8:17" x14ac:dyDescent="0.25">
      <c r="H31" s="225">
        <f>+$E$13*100</f>
        <v>100</v>
      </c>
      <c r="I31" s="226"/>
      <c r="J31" s="226"/>
      <c r="K31" s="226"/>
      <c r="L31" s="226"/>
      <c r="M31" s="226"/>
      <c r="N31" s="226"/>
      <c r="O31" s="226"/>
      <c r="P31" s="226">
        <v>0</v>
      </c>
      <c r="Q31" s="226">
        <v>0</v>
      </c>
    </row>
  </sheetData>
  <sortState ref="A6:F13">
    <sortCondition ref="D6:D13"/>
  </sortState>
  <mergeCells count="1">
    <mergeCell ref="F3:F4"/>
  </mergeCell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6"/>
  <sheetViews>
    <sheetView showGridLines="0" workbookViewId="0">
      <selection activeCell="A3" sqref="A3"/>
    </sheetView>
  </sheetViews>
  <sheetFormatPr defaultRowHeight="12" x14ac:dyDescent="0.25"/>
  <cols>
    <col min="1" max="1" width="9.140625" style="194"/>
    <col min="2" max="2" width="20" style="194" bestFit="1" customWidth="1"/>
    <col min="3" max="8" width="9.140625" style="194"/>
    <col min="9" max="9" width="3.42578125" style="195" customWidth="1"/>
    <col min="10" max="16384" width="9.140625" style="194"/>
  </cols>
  <sheetData>
    <row r="1" spans="1:24" ht="14.4" x14ac:dyDescent="0.25">
      <c r="A1" s="193" t="s">
        <v>88</v>
      </c>
      <c r="X1" s="194" t="s">
        <v>89</v>
      </c>
    </row>
    <row r="2" spans="1:24" x14ac:dyDescent="0.25">
      <c r="A2" s="284" t="s">
        <v>116</v>
      </c>
    </row>
    <row r="3" spans="1:24" x14ac:dyDescent="0.25">
      <c r="A3" s="284"/>
    </row>
    <row r="4" spans="1:24" ht="24" x14ac:dyDescent="0.25">
      <c r="A4" s="196" t="s">
        <v>90</v>
      </c>
      <c r="B4" s="197" t="s">
        <v>91</v>
      </c>
      <c r="C4" s="276" t="s">
        <v>92</v>
      </c>
      <c r="D4" s="277"/>
      <c r="E4" s="277"/>
      <c r="F4" s="277"/>
      <c r="G4" s="277"/>
      <c r="H4" s="278"/>
      <c r="I4" s="198"/>
      <c r="J4" s="279" t="s">
        <v>93</v>
      </c>
      <c r="K4" s="279"/>
      <c r="L4" s="279"/>
      <c r="M4" s="279"/>
      <c r="N4" s="279"/>
      <c r="O4" s="279"/>
    </row>
    <row r="5" spans="1:24" ht="12" customHeight="1" x14ac:dyDescent="0.25">
      <c r="A5" s="199"/>
      <c r="B5" s="199"/>
      <c r="C5" s="197">
        <v>1970</v>
      </c>
      <c r="D5" s="197">
        <v>1975</v>
      </c>
      <c r="E5" s="197">
        <v>1990</v>
      </c>
      <c r="F5" s="197">
        <v>2000</v>
      </c>
      <c r="G5" s="197">
        <v>2005</v>
      </c>
      <c r="H5" s="197">
        <v>2010</v>
      </c>
      <c r="I5" s="200"/>
      <c r="J5" s="197">
        <v>1970</v>
      </c>
      <c r="K5" s="197">
        <v>1975</v>
      </c>
      <c r="L5" s="197">
        <v>1990</v>
      </c>
      <c r="M5" s="197">
        <v>2000</v>
      </c>
      <c r="N5" s="197">
        <v>2005</v>
      </c>
      <c r="O5" s="197">
        <v>2010</v>
      </c>
    </row>
    <row r="6" spans="1:24" x14ac:dyDescent="0.25">
      <c r="A6" s="111" t="s">
        <v>102</v>
      </c>
      <c r="B6" s="111" t="s">
        <v>14</v>
      </c>
      <c r="C6" s="201">
        <v>0.64173647667709188</v>
      </c>
      <c r="D6" s="201">
        <v>0.69698411239176727</v>
      </c>
      <c r="E6" s="201">
        <v>0.72777034421398878</v>
      </c>
      <c r="F6" s="201">
        <v>0.60132158590308371</v>
      </c>
      <c r="G6" s="201">
        <v>0.66216216216216217</v>
      </c>
      <c r="H6" s="201">
        <v>0.66040688575899842</v>
      </c>
      <c r="I6" s="202"/>
      <c r="J6" s="201">
        <v>0.35826352332290812</v>
      </c>
      <c r="K6" s="201">
        <v>0.30301588760823278</v>
      </c>
      <c r="L6" s="201">
        <v>0.27222965578601122</v>
      </c>
      <c r="M6" s="201">
        <v>0.39867841409691629</v>
      </c>
      <c r="N6" s="201">
        <v>0.33783783783783783</v>
      </c>
      <c r="O6" s="201">
        <v>0.33959311424100164</v>
      </c>
    </row>
    <row r="7" spans="1:24" x14ac:dyDescent="0.25">
      <c r="A7" s="111" t="s">
        <v>102</v>
      </c>
      <c r="B7" s="111" t="s">
        <v>19</v>
      </c>
      <c r="C7" s="201">
        <v>0.99021875881854959</v>
      </c>
      <c r="D7" s="201">
        <v>0.98547355418920346</v>
      </c>
      <c r="E7" s="201">
        <v>0.96868329916887863</v>
      </c>
      <c r="F7" s="201">
        <v>0.9675174013921114</v>
      </c>
      <c r="G7" s="201">
        <v>0.94460641399416889</v>
      </c>
      <c r="H7" s="201">
        <v>0.88196721311475412</v>
      </c>
      <c r="I7" s="202"/>
      <c r="J7" s="201">
        <v>9.7812411814504532E-3</v>
      </c>
      <c r="K7" s="201">
        <v>1.4526445810796528E-2</v>
      </c>
      <c r="L7" s="201">
        <v>3.1316700831121362E-2</v>
      </c>
      <c r="M7" s="201">
        <v>3.2482598607888574E-2</v>
      </c>
      <c r="N7" s="201">
        <v>5.5393586005831066E-2</v>
      </c>
      <c r="O7" s="201">
        <v>0.11803278688524591</v>
      </c>
    </row>
    <row r="8" spans="1:24" x14ac:dyDescent="0.25">
      <c r="A8" s="111" t="s">
        <v>102</v>
      </c>
      <c r="B8" s="111" t="s">
        <v>20</v>
      </c>
      <c r="C8" s="201">
        <v>0.79030428367323469</v>
      </c>
      <c r="D8" s="201">
        <v>0.77219250783334814</v>
      </c>
      <c r="E8" s="201">
        <v>0.7120863189797485</v>
      </c>
      <c r="F8" s="201">
        <v>0.62314709236031929</v>
      </c>
      <c r="G8" s="201">
        <v>0.63978494623655913</v>
      </c>
      <c r="H8" s="201">
        <v>0.66647498562392182</v>
      </c>
      <c r="I8" s="202"/>
      <c r="J8" s="201">
        <v>0.20969571632676534</v>
      </c>
      <c r="K8" s="201">
        <v>0.22780749216665186</v>
      </c>
      <c r="L8" s="201">
        <v>0.28791368102025156</v>
      </c>
      <c r="M8" s="201">
        <v>0.37685290763968077</v>
      </c>
      <c r="N8" s="201">
        <v>0.36021505376344087</v>
      </c>
      <c r="O8" s="201">
        <v>0.33352501437607823</v>
      </c>
    </row>
    <row r="9" spans="1:24" x14ac:dyDescent="0.25">
      <c r="A9" s="111" t="s">
        <v>102</v>
      </c>
      <c r="B9" s="111" t="s">
        <v>21</v>
      </c>
      <c r="C9" s="201">
        <v>0.96296058681379793</v>
      </c>
      <c r="D9" s="201">
        <v>0.94325004758284414</v>
      </c>
      <c r="E9" s="201">
        <v>0.90037491361638478</v>
      </c>
      <c r="F9" s="201">
        <v>0.84810126582278478</v>
      </c>
      <c r="G9" s="201">
        <v>0.81720430107526887</v>
      </c>
      <c r="H9" s="201">
        <v>0.76666666666666672</v>
      </c>
      <c r="I9" s="202"/>
      <c r="J9" s="201">
        <v>3.703941318620213E-2</v>
      </c>
      <c r="K9" s="201">
        <v>5.6749952417155844E-2</v>
      </c>
      <c r="L9" s="201">
        <v>9.9625086383615252E-2</v>
      </c>
      <c r="M9" s="201">
        <v>0.15189873417721522</v>
      </c>
      <c r="N9" s="201">
        <v>0.18279569892473119</v>
      </c>
      <c r="O9" s="201">
        <v>0.23333333333333334</v>
      </c>
    </row>
    <row r="10" spans="1:24" x14ac:dyDescent="0.25">
      <c r="A10" s="111" t="s">
        <v>102</v>
      </c>
      <c r="B10" s="111" t="s">
        <v>22</v>
      </c>
      <c r="C10" s="201">
        <v>0.97576719687969815</v>
      </c>
      <c r="D10" s="201">
        <v>0.96525845971833546</v>
      </c>
      <c r="E10" s="201">
        <v>0.93813802862201912</v>
      </c>
      <c r="F10" s="201">
        <v>0.91960507757404797</v>
      </c>
      <c r="G10" s="201">
        <v>0.90821771611526148</v>
      </c>
      <c r="H10" s="201">
        <v>0.89056603773584908</v>
      </c>
      <c r="I10" s="202"/>
      <c r="J10" s="201">
        <v>2.4232803120301898E-2</v>
      </c>
      <c r="K10" s="201">
        <v>3.4741540281664499E-2</v>
      </c>
      <c r="L10" s="201">
        <v>6.1861971377980933E-2</v>
      </c>
      <c r="M10" s="201">
        <v>8.0394922425952073E-2</v>
      </c>
      <c r="N10" s="201">
        <v>9.1782283884738511E-2</v>
      </c>
      <c r="O10" s="201">
        <v>0.10943396226415095</v>
      </c>
    </row>
    <row r="11" spans="1:24" x14ac:dyDescent="0.25">
      <c r="A11" s="111" t="s">
        <v>102</v>
      </c>
      <c r="B11" s="111" t="s">
        <v>25</v>
      </c>
      <c r="C11" s="201">
        <v>0.72409277568473562</v>
      </c>
      <c r="D11" s="201">
        <v>0.66703081187761593</v>
      </c>
      <c r="E11" s="201">
        <v>0.5930467338715335</v>
      </c>
      <c r="F11" s="201">
        <v>0.48722375690607733</v>
      </c>
      <c r="G11" s="201">
        <v>0.49968553459119497</v>
      </c>
      <c r="H11" s="201">
        <v>0.51930304065596178</v>
      </c>
      <c r="I11" s="202"/>
      <c r="J11" s="201">
        <v>0.27590722431526438</v>
      </c>
      <c r="K11" s="201">
        <v>0.33296918812238402</v>
      </c>
      <c r="L11" s="201">
        <v>0.40695326612846655</v>
      </c>
      <c r="M11" s="201">
        <v>0.51277624309392267</v>
      </c>
      <c r="N11" s="201">
        <v>0.50031446540880509</v>
      </c>
      <c r="O11" s="201">
        <v>0.48069695934403817</v>
      </c>
    </row>
    <row r="12" spans="1:24" x14ac:dyDescent="0.25">
      <c r="A12" s="111" t="s">
        <v>102</v>
      </c>
      <c r="B12" s="111" t="s">
        <v>26</v>
      </c>
      <c r="C12" s="201">
        <v>0.91606479250492978</v>
      </c>
      <c r="D12" s="201">
        <v>0.89896202229572331</v>
      </c>
      <c r="E12" s="201">
        <v>0.86170588311112739</v>
      </c>
      <c r="F12" s="201">
        <v>0.85526315789473673</v>
      </c>
      <c r="G12" s="201">
        <v>0.78297872340425534</v>
      </c>
      <c r="H12" s="201">
        <v>0.79844961240310075</v>
      </c>
      <c r="I12" s="202"/>
      <c r="J12" s="201">
        <v>8.393520749507026E-2</v>
      </c>
      <c r="K12" s="201">
        <v>0.10103797770427667</v>
      </c>
      <c r="L12" s="201">
        <v>0.13829411688887258</v>
      </c>
      <c r="M12" s="201">
        <v>0.14473684210526322</v>
      </c>
      <c r="N12" s="201">
        <v>0.21702127659574469</v>
      </c>
      <c r="O12" s="201">
        <v>0.20155038759689922</v>
      </c>
    </row>
    <row r="13" spans="1:24" x14ac:dyDescent="0.25">
      <c r="A13" s="111" t="s">
        <v>102</v>
      </c>
      <c r="B13" s="111" t="s">
        <v>46</v>
      </c>
      <c r="C13" s="201">
        <v>0.60652121263175629</v>
      </c>
      <c r="D13" s="201">
        <v>0.58058189228150037</v>
      </c>
      <c r="E13" s="201">
        <v>0.51961020027903126</v>
      </c>
      <c r="F13" s="201">
        <v>0.59647404505386881</v>
      </c>
      <c r="G13" s="201">
        <v>0.57025411061285503</v>
      </c>
      <c r="H13" s="201">
        <v>0.59178743961352653</v>
      </c>
      <c r="I13" s="202"/>
      <c r="J13" s="201">
        <v>0.39347878736824365</v>
      </c>
      <c r="K13" s="201">
        <v>0.41941810771849969</v>
      </c>
      <c r="L13" s="201">
        <v>0.48038979972096868</v>
      </c>
      <c r="M13" s="201">
        <v>0.40352595494613119</v>
      </c>
      <c r="N13" s="201">
        <v>0.42974588938714497</v>
      </c>
      <c r="O13" s="201">
        <v>0.40821256038647352</v>
      </c>
    </row>
    <row r="14" spans="1:24" x14ac:dyDescent="0.25">
      <c r="A14" s="111" t="s">
        <v>102</v>
      </c>
      <c r="B14" s="111" t="s">
        <v>33</v>
      </c>
      <c r="C14" s="201">
        <v>0.62323038117580654</v>
      </c>
      <c r="D14" s="201">
        <v>0.62312856645872716</v>
      </c>
      <c r="E14" s="201">
        <v>0.41806720249786766</v>
      </c>
      <c r="F14" s="201">
        <v>0.28746767834105108</v>
      </c>
      <c r="G14" s="201">
        <v>0.32620151526154506</v>
      </c>
      <c r="H14" s="201">
        <v>0.31849497684863237</v>
      </c>
      <c r="I14" s="202"/>
      <c r="J14" s="201">
        <v>0.37676961882419352</v>
      </c>
      <c r="K14" s="201">
        <v>0.37687143354127289</v>
      </c>
      <c r="L14" s="201">
        <v>0.58193279750213223</v>
      </c>
      <c r="M14" s="201">
        <v>0.71253232165894886</v>
      </c>
      <c r="N14" s="201">
        <v>0.67379848473845494</v>
      </c>
      <c r="O14" s="201">
        <v>0.68150502315136763</v>
      </c>
    </row>
    <row r="15" spans="1:24" x14ac:dyDescent="0.25">
      <c r="A15" s="111" t="s">
        <v>102</v>
      </c>
      <c r="B15" s="111" t="s">
        <v>34</v>
      </c>
      <c r="C15" s="201">
        <v>0.22494290073961765</v>
      </c>
      <c r="D15" s="201">
        <v>0.23822305463259894</v>
      </c>
      <c r="E15" s="201">
        <v>0.32331833629206014</v>
      </c>
      <c r="F15" s="201">
        <v>0.38625456956609971</v>
      </c>
      <c r="G15" s="201">
        <v>0.43829910408110362</v>
      </c>
      <c r="H15" s="201">
        <v>0.42794425064261482</v>
      </c>
      <c r="I15" s="202"/>
      <c r="J15" s="201">
        <v>0.77505709926038235</v>
      </c>
      <c r="K15" s="201">
        <v>0.76177694536740115</v>
      </c>
      <c r="L15" s="201">
        <v>0.67668166370793992</v>
      </c>
      <c r="M15" s="201">
        <v>0.61374543043390029</v>
      </c>
      <c r="N15" s="201">
        <v>0.56170089591889638</v>
      </c>
      <c r="O15" s="201">
        <v>0.57205574935738512</v>
      </c>
    </row>
    <row r="16" spans="1:24" x14ac:dyDescent="0.25">
      <c r="A16" s="111" t="s">
        <v>102</v>
      </c>
      <c r="B16" s="111" t="s">
        <v>48</v>
      </c>
      <c r="C16" s="201">
        <v>0.69108397008925515</v>
      </c>
      <c r="D16" s="201">
        <v>0.69941018078800687</v>
      </c>
      <c r="E16" s="201">
        <v>0.65882163080819245</v>
      </c>
      <c r="F16" s="201">
        <v>0.55572758476043793</v>
      </c>
      <c r="G16" s="201">
        <v>0.57038286093555191</v>
      </c>
      <c r="H16" s="201">
        <v>0.57588705096475956</v>
      </c>
      <c r="I16" s="202"/>
      <c r="J16" s="201">
        <v>0.30891602991074479</v>
      </c>
      <c r="K16" s="201">
        <v>0.30058981921199318</v>
      </c>
      <c r="L16" s="201">
        <v>0.34117836919180761</v>
      </c>
      <c r="M16" s="201">
        <v>0.44427241523956207</v>
      </c>
      <c r="N16" s="201">
        <v>0.42961713906444804</v>
      </c>
      <c r="O16" s="201">
        <v>0.42411294903524044</v>
      </c>
    </row>
  </sheetData>
  <mergeCells count="2">
    <mergeCell ref="C4:H4"/>
    <mergeCell ref="J4:O4"/>
  </mergeCell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7"/>
  <sheetViews>
    <sheetView showGridLines="0" workbookViewId="0">
      <selection activeCell="F34" sqref="F34"/>
    </sheetView>
  </sheetViews>
  <sheetFormatPr defaultRowHeight="12" x14ac:dyDescent="0.25"/>
  <cols>
    <col min="1" max="1" width="10.42578125" style="290" customWidth="1"/>
    <col min="2" max="2" width="38.5703125" style="290" customWidth="1"/>
    <col min="3" max="3" width="4" style="290" customWidth="1"/>
    <col min="4" max="4" width="12.5703125" style="290" bestFit="1" customWidth="1"/>
    <col min="5" max="5" width="12.5703125" style="291" bestFit="1" customWidth="1"/>
    <col min="6" max="9" width="12.5703125" style="290" bestFit="1" customWidth="1"/>
    <col min="10" max="11" width="6.7109375" style="290" customWidth="1"/>
    <col min="12" max="12" width="6.7109375" style="292" customWidth="1"/>
    <col min="13" max="15" width="6.7109375" style="290" customWidth="1"/>
    <col min="16" max="16384" width="9.140625" style="290"/>
  </cols>
  <sheetData>
    <row r="1" spans="1:12" ht="14.4" x14ac:dyDescent="0.25">
      <c r="A1" s="288" t="s">
        <v>118</v>
      </c>
      <c r="B1" s="289"/>
      <c r="C1" s="289"/>
    </row>
    <row r="2" spans="1:12" s="291" customFormat="1" x14ac:dyDescent="0.25">
      <c r="A2" s="291" t="s">
        <v>119</v>
      </c>
      <c r="B2" s="293" t="s">
        <v>120</v>
      </c>
      <c r="C2" s="293"/>
      <c r="L2" s="292"/>
    </row>
    <row r="3" spans="1:12" s="291" customFormat="1" x14ac:dyDescent="0.25">
      <c r="B3" s="293" t="s">
        <v>121</v>
      </c>
      <c r="C3" s="293"/>
      <c r="L3" s="292"/>
    </row>
    <row r="4" spans="1:12" s="296" customFormat="1" x14ac:dyDescent="0.25">
      <c r="A4" s="294" t="s">
        <v>122</v>
      </c>
      <c r="B4" s="295" t="s">
        <v>123</v>
      </c>
      <c r="C4" s="294"/>
      <c r="L4" s="297"/>
    </row>
    <row r="5" spans="1:12" s="296" customFormat="1" x14ac:dyDescent="0.25">
      <c r="A5" s="298" t="s">
        <v>124</v>
      </c>
      <c r="B5" s="294" t="s">
        <v>125</v>
      </c>
      <c r="C5" s="294"/>
      <c r="L5" s="297"/>
    </row>
    <row r="6" spans="1:12" s="296" customFormat="1" ht="13.8" customHeight="1" x14ac:dyDescent="0.25">
      <c r="A6" s="298" t="s">
        <v>126</v>
      </c>
      <c r="B6" s="299" t="s">
        <v>127</v>
      </c>
      <c r="C6" s="107"/>
      <c r="L6" s="297"/>
    </row>
    <row r="7" spans="1:12" s="296" customFormat="1" x14ac:dyDescent="0.25">
      <c r="B7" s="300" t="s">
        <v>128</v>
      </c>
      <c r="C7" s="107" t="s">
        <v>129</v>
      </c>
      <c r="L7" s="297"/>
    </row>
    <row r="8" spans="1:12" s="296" customFormat="1" x14ac:dyDescent="0.25">
      <c r="B8" s="300" t="s">
        <v>130</v>
      </c>
      <c r="C8" s="107" t="s">
        <v>131</v>
      </c>
      <c r="L8" s="297"/>
    </row>
    <row r="9" spans="1:12" s="296" customFormat="1" x14ac:dyDescent="0.25">
      <c r="B9" s="300" t="s">
        <v>132</v>
      </c>
      <c r="C9" s="107" t="s">
        <v>133</v>
      </c>
      <c r="L9" s="297"/>
    </row>
    <row r="10" spans="1:12" s="296" customFormat="1" x14ac:dyDescent="0.25">
      <c r="B10" s="300" t="s">
        <v>134</v>
      </c>
      <c r="C10" s="107" t="s">
        <v>135</v>
      </c>
      <c r="L10" s="297"/>
    </row>
    <row r="11" spans="1:12" s="296" customFormat="1" ht="12" customHeight="1" x14ac:dyDescent="0.25">
      <c r="B11" s="300" t="s">
        <v>136</v>
      </c>
      <c r="C11" s="107" t="s">
        <v>137</v>
      </c>
      <c r="L11" s="297"/>
    </row>
    <row r="12" spans="1:12" s="296" customFormat="1" x14ac:dyDescent="0.25">
      <c r="B12" s="300" t="s">
        <v>138</v>
      </c>
      <c r="C12" s="107" t="s">
        <v>139</v>
      </c>
      <c r="L12" s="297"/>
    </row>
    <row r="13" spans="1:12" s="296" customFormat="1" ht="11.4" customHeight="1" x14ac:dyDescent="0.25">
      <c r="A13" s="298" t="s">
        <v>89</v>
      </c>
      <c r="B13" s="301" t="s">
        <v>140</v>
      </c>
      <c r="C13" s="107"/>
      <c r="L13" s="297"/>
    </row>
    <row r="14" spans="1:12" s="296" customFormat="1" x14ac:dyDescent="0.25">
      <c r="A14" s="302">
        <v>2</v>
      </c>
      <c r="B14" s="295" t="s">
        <v>141</v>
      </c>
      <c r="C14" s="294"/>
      <c r="L14" s="297"/>
    </row>
    <row r="15" spans="1:12" s="296" customFormat="1" x14ac:dyDescent="0.25">
      <c r="A15" s="298" t="s">
        <v>124</v>
      </c>
      <c r="B15" s="294" t="s">
        <v>142</v>
      </c>
      <c r="C15" s="294"/>
      <c r="L15" s="297"/>
    </row>
    <row r="16" spans="1:12" s="296" customFormat="1" x14ac:dyDescent="0.25">
      <c r="A16" s="298" t="s">
        <v>126</v>
      </c>
      <c r="B16" s="301" t="s">
        <v>143</v>
      </c>
      <c r="C16" s="294"/>
      <c r="L16" s="297"/>
    </row>
    <row r="17" spans="1:15" s="312" customFormat="1" ht="14.4" customHeight="1" x14ac:dyDescent="0.25">
      <c r="A17" s="303" t="s">
        <v>144</v>
      </c>
      <c r="B17" s="304"/>
      <c r="C17" s="305"/>
      <c r="D17" s="306" t="s">
        <v>145</v>
      </c>
      <c r="E17" s="307"/>
      <c r="F17" s="307"/>
      <c r="G17" s="307"/>
      <c r="H17" s="307"/>
      <c r="I17" s="308"/>
      <c r="J17" s="309" t="s">
        <v>146</v>
      </c>
      <c r="K17" s="310"/>
      <c r="L17" s="310"/>
      <c r="M17" s="310"/>
      <c r="N17" s="310"/>
      <c r="O17" s="311"/>
    </row>
    <row r="18" spans="1:15" ht="15.6" customHeight="1" x14ac:dyDescent="0.25">
      <c r="A18" s="313"/>
      <c r="B18" s="314"/>
      <c r="C18" s="315"/>
      <c r="D18" s="316" t="s">
        <v>147</v>
      </c>
      <c r="E18" s="317"/>
      <c r="F18" s="317"/>
      <c r="G18" s="317"/>
      <c r="H18" s="317"/>
      <c r="I18" s="318"/>
      <c r="J18" s="319" t="s">
        <v>148</v>
      </c>
      <c r="K18" s="320"/>
      <c r="L18" s="320"/>
      <c r="M18" s="320"/>
      <c r="N18" s="320"/>
      <c r="O18" s="321"/>
    </row>
    <row r="19" spans="1:15" s="327" customFormat="1" x14ac:dyDescent="0.25">
      <c r="A19" s="322"/>
      <c r="B19" s="323"/>
      <c r="C19" s="324"/>
      <c r="D19" s="325">
        <v>1975</v>
      </c>
      <c r="E19" s="325">
        <v>1991</v>
      </c>
      <c r="F19" s="325">
        <v>2000</v>
      </c>
      <c r="G19" s="325">
        <v>2005</v>
      </c>
      <c r="H19" s="325">
        <v>2010</v>
      </c>
      <c r="I19" s="325">
        <v>2013</v>
      </c>
      <c r="J19" s="326">
        <v>1975</v>
      </c>
      <c r="K19" s="326">
        <v>1991</v>
      </c>
      <c r="L19" s="326">
        <v>2000</v>
      </c>
      <c r="M19" s="326">
        <v>2005</v>
      </c>
      <c r="N19" s="326">
        <v>2010</v>
      </c>
      <c r="O19" s="326">
        <v>2013</v>
      </c>
    </row>
    <row r="20" spans="1:15" x14ac:dyDescent="0.25">
      <c r="A20" s="328" t="s">
        <v>14</v>
      </c>
      <c r="B20" s="329"/>
      <c r="C20" s="148">
        <v>1</v>
      </c>
      <c r="D20" s="330">
        <v>2770762.01747056</v>
      </c>
      <c r="E20" s="330">
        <v>5168551.9399271701</v>
      </c>
      <c r="F20" s="330">
        <v>4083674.5001137201</v>
      </c>
      <c r="G20" s="330">
        <v>6159770.0176407499</v>
      </c>
      <c r="H20" s="330">
        <v>8960935.8039008416</v>
      </c>
      <c r="I20" s="330">
        <v>7608241.6791784801</v>
      </c>
      <c r="J20" s="331">
        <f t="shared" ref="J20:O27" si="0">(+D20/D$29)*100</f>
        <v>7.653518601523988</v>
      </c>
      <c r="K20" s="331">
        <f t="shared" si="0"/>
        <v>4.5499612653942147</v>
      </c>
      <c r="L20" s="331">
        <f t="shared" si="0"/>
        <v>3.2862009707859783</v>
      </c>
      <c r="M20" s="331">
        <f t="shared" si="0"/>
        <v>2.6661421320833432</v>
      </c>
      <c r="N20" s="331">
        <f t="shared" si="0"/>
        <v>2.6296064709041791</v>
      </c>
      <c r="O20" s="331">
        <f t="shared" si="0"/>
        <v>2.315123849576513</v>
      </c>
    </row>
    <row r="21" spans="1:15" x14ac:dyDescent="0.25">
      <c r="A21" s="332" t="s">
        <v>149</v>
      </c>
      <c r="B21" s="329"/>
      <c r="C21" s="148">
        <v>2</v>
      </c>
      <c r="D21" s="330">
        <v>4670674.4794256901</v>
      </c>
      <c r="E21" s="330">
        <v>13411363.788629703</v>
      </c>
      <c r="F21" s="330">
        <v>12375666.352938095</v>
      </c>
      <c r="G21" s="330">
        <v>21357129.696873199</v>
      </c>
      <c r="H21" s="330">
        <v>40743198.551110096</v>
      </c>
      <c r="I21" s="330">
        <v>41664077.051396005</v>
      </c>
      <c r="J21" s="331">
        <f t="shared" si="0"/>
        <v>12.901538921260929</v>
      </c>
      <c r="K21" s="331">
        <f t="shared" si="0"/>
        <v>11.806244082213016</v>
      </c>
      <c r="L21" s="331">
        <f t="shared" si="0"/>
        <v>9.958905094423173</v>
      </c>
      <c r="M21" s="331">
        <f t="shared" si="0"/>
        <v>9.2440372192679678</v>
      </c>
      <c r="N21" s="331">
        <f t="shared" si="0"/>
        <v>11.956181910006956</v>
      </c>
      <c r="O21" s="331">
        <f t="shared" si="0"/>
        <v>12.678027659959353</v>
      </c>
    </row>
    <row r="22" spans="1:15" x14ac:dyDescent="0.25">
      <c r="A22" s="332" t="s">
        <v>20</v>
      </c>
      <c r="B22" s="329"/>
      <c r="C22" s="148">
        <v>3</v>
      </c>
      <c r="D22" s="330">
        <v>8256843.7670450099</v>
      </c>
      <c r="E22" s="330">
        <v>26096986.399595797</v>
      </c>
      <c r="F22" s="330">
        <v>23826814.159908403</v>
      </c>
      <c r="G22" s="330">
        <v>41909300.169803001</v>
      </c>
      <c r="H22" s="330">
        <v>48994416.765847601</v>
      </c>
      <c r="I22" s="330">
        <v>43493377.665864803</v>
      </c>
      <c r="J22" s="331">
        <f t="shared" si="0"/>
        <v>22.807410727625882</v>
      </c>
      <c r="K22" s="331">
        <f t="shared" si="0"/>
        <v>22.973606271499261</v>
      </c>
      <c r="L22" s="331">
        <f t="shared" si="0"/>
        <v>19.173834697365724</v>
      </c>
      <c r="M22" s="331">
        <f t="shared" si="0"/>
        <v>18.139662777805363</v>
      </c>
      <c r="N22" s="331">
        <f t="shared" si="0"/>
        <v>14.377520181493168</v>
      </c>
      <c r="O22" s="331">
        <f t="shared" si="0"/>
        <v>13.234668426536444</v>
      </c>
    </row>
    <row r="23" spans="1:15" x14ac:dyDescent="0.25">
      <c r="A23" s="332" t="s">
        <v>22</v>
      </c>
      <c r="B23" s="329"/>
      <c r="C23" s="148">
        <v>4</v>
      </c>
      <c r="D23" s="330">
        <v>2029728.5447649099</v>
      </c>
      <c r="E23" s="330">
        <v>3990852.1845570002</v>
      </c>
      <c r="F23" s="330">
        <v>3431929.2720257002</v>
      </c>
      <c r="G23" s="330">
        <v>6686083.4621685697</v>
      </c>
      <c r="H23" s="330">
        <v>13037850.854199301</v>
      </c>
      <c r="I23" s="330">
        <v>13095211.3684953</v>
      </c>
      <c r="J23" s="331">
        <f t="shared" si="0"/>
        <v>5.6066039145375681</v>
      </c>
      <c r="K23" s="331">
        <f t="shared" si="0"/>
        <v>3.5132128044173436</v>
      </c>
      <c r="L23" s="331">
        <f t="shared" si="0"/>
        <v>2.7617307170504422</v>
      </c>
      <c r="M23" s="331">
        <f t="shared" si="0"/>
        <v>2.8939471386207427</v>
      </c>
      <c r="N23" s="331">
        <f t="shared" si="0"/>
        <v>3.8259862276841106</v>
      </c>
      <c r="O23" s="331">
        <f t="shared" si="0"/>
        <v>3.9847625026709874</v>
      </c>
    </row>
    <row r="24" spans="1:15" x14ac:dyDescent="0.25">
      <c r="A24" s="332" t="s">
        <v>150</v>
      </c>
      <c r="B24" s="329"/>
      <c r="C24" s="148">
        <v>5</v>
      </c>
      <c r="D24" s="330">
        <v>4899204.8752053902</v>
      </c>
      <c r="E24" s="330">
        <v>15857662.019726101</v>
      </c>
      <c r="F24" s="330">
        <v>18314285.872104902</v>
      </c>
      <c r="G24" s="330">
        <v>32713203.2025395</v>
      </c>
      <c r="H24" s="330">
        <v>50617233.293340102</v>
      </c>
      <c r="I24" s="330">
        <v>48783559.269602999</v>
      </c>
      <c r="J24" s="331">
        <f t="shared" si="0"/>
        <v>13.532795457941155</v>
      </c>
      <c r="K24" s="331">
        <f t="shared" si="0"/>
        <v>13.959760642452485</v>
      </c>
      <c r="L24" s="331">
        <f t="shared" si="0"/>
        <v>14.737811255644168</v>
      </c>
      <c r="M24" s="331">
        <f t="shared" si="0"/>
        <v>14.159302877203789</v>
      </c>
      <c r="N24" s="331">
        <f t="shared" si="0"/>
        <v>14.853739287976095</v>
      </c>
      <c r="O24" s="331">
        <f t="shared" si="0"/>
        <v>14.844426122972775</v>
      </c>
    </row>
    <row r="25" spans="1:15" x14ac:dyDescent="0.25">
      <c r="A25" s="332" t="s">
        <v>151</v>
      </c>
      <c r="B25" s="329"/>
      <c r="C25" s="148">
        <v>6</v>
      </c>
      <c r="D25" s="330">
        <v>3414433.4280688902</v>
      </c>
      <c r="E25" s="330">
        <v>9943088.7095459905</v>
      </c>
      <c r="F25" s="330">
        <v>12565296.4038256</v>
      </c>
      <c r="G25" s="330">
        <v>25089756.596411999</v>
      </c>
      <c r="H25" s="330">
        <v>31347089.4910364</v>
      </c>
      <c r="I25" s="330">
        <v>32933418.275682703</v>
      </c>
      <c r="J25" s="331">
        <f t="shared" si="0"/>
        <v>9.4314955924099788</v>
      </c>
      <c r="K25" s="331">
        <f t="shared" si="0"/>
        <v>8.7530644971036686</v>
      </c>
      <c r="L25" s="331">
        <f t="shared" si="0"/>
        <v>10.111503558698267</v>
      </c>
      <c r="M25" s="331">
        <f t="shared" si="0"/>
        <v>10.859635498377033</v>
      </c>
      <c r="N25" s="331">
        <f t="shared" si="0"/>
        <v>9.1988728826467394</v>
      </c>
      <c r="O25" s="331">
        <f t="shared" si="0"/>
        <v>10.021361743380472</v>
      </c>
    </row>
    <row r="26" spans="1:15" x14ac:dyDescent="0.25">
      <c r="A26" s="332" t="s">
        <v>152</v>
      </c>
      <c r="B26" s="329"/>
      <c r="C26" s="148">
        <v>7</v>
      </c>
      <c r="D26" s="330">
        <v>10160812.981587999</v>
      </c>
      <c r="E26" s="330">
        <v>39127010.1382856</v>
      </c>
      <c r="F26" s="330">
        <v>49669672.424654096</v>
      </c>
      <c r="G26" s="330">
        <v>97121577.567022905</v>
      </c>
      <c r="H26" s="330">
        <v>147070257.63093302</v>
      </c>
      <c r="I26" s="330">
        <v>141054281.84447399</v>
      </c>
      <c r="J26" s="331">
        <f t="shared" si="0"/>
        <v>28.066636784700489</v>
      </c>
      <c r="K26" s="331">
        <f t="shared" si="0"/>
        <v>34.444150436920012</v>
      </c>
      <c r="L26" s="331">
        <f t="shared" si="0"/>
        <v>39.970013706032255</v>
      </c>
      <c r="M26" s="331">
        <f t="shared" si="0"/>
        <v>42.037272356641765</v>
      </c>
      <c r="N26" s="331">
        <f t="shared" si="0"/>
        <v>43.158093039288744</v>
      </c>
      <c r="O26" s="331">
        <f t="shared" si="0"/>
        <v>42.921629694903437</v>
      </c>
    </row>
    <row r="27" spans="1:15" s="338" customFormat="1" x14ac:dyDescent="0.25">
      <c r="A27" s="333" t="s">
        <v>153</v>
      </c>
      <c r="B27" s="334"/>
      <c r="C27" s="335"/>
      <c r="D27" s="336">
        <v>36202460.093568496</v>
      </c>
      <c r="E27" s="336">
        <v>113595515.18026699</v>
      </c>
      <c r="F27" s="336">
        <v>124267338.98557001</v>
      </c>
      <c r="G27" s="336">
        <v>231036820.71245998</v>
      </c>
      <c r="H27" s="336">
        <v>340770982.39036703</v>
      </c>
      <c r="I27" s="336">
        <v>328632167.15469396</v>
      </c>
      <c r="J27" s="337">
        <f t="shared" si="0"/>
        <v>100.00000000000013</v>
      </c>
      <c r="K27" s="337">
        <f t="shared" si="0"/>
        <v>99.999999999999673</v>
      </c>
      <c r="L27" s="337">
        <f t="shared" si="0"/>
        <v>99.999999999999602</v>
      </c>
      <c r="M27" s="337">
        <f t="shared" si="0"/>
        <v>100.00000000000003</v>
      </c>
      <c r="N27" s="337">
        <f t="shared" si="0"/>
        <v>99.999999999999901</v>
      </c>
      <c r="O27" s="337">
        <f t="shared" si="0"/>
        <v>99.999999999999886</v>
      </c>
    </row>
    <row r="28" spans="1:15" s="344" customFormat="1" x14ac:dyDescent="0.25">
      <c r="A28" s="339" t="s">
        <v>154</v>
      </c>
      <c r="B28" s="340"/>
      <c r="C28" s="341"/>
      <c r="D28" s="342"/>
      <c r="E28" s="342"/>
      <c r="F28" s="342"/>
      <c r="G28" s="342"/>
      <c r="H28" s="342"/>
      <c r="I28" s="342"/>
      <c r="J28" s="343"/>
      <c r="K28" s="343"/>
      <c r="L28" s="343"/>
      <c r="M28" s="343"/>
      <c r="N28" s="343"/>
      <c r="O28" s="343"/>
    </row>
    <row r="29" spans="1:15" s="344" customFormat="1" x14ac:dyDescent="0.25">
      <c r="A29" s="345" t="s">
        <v>155</v>
      </c>
      <c r="B29" s="346"/>
      <c r="C29" s="347"/>
      <c r="D29" s="348">
        <f>SUM(D20:D26)</f>
        <v>36202460.093568452</v>
      </c>
      <c r="E29" s="348">
        <f t="shared" ref="E29:I29" si="1">SUM(E20:E26)</f>
        <v>113595515.18026736</v>
      </c>
      <c r="F29" s="348">
        <f t="shared" si="1"/>
        <v>124267338.98557051</v>
      </c>
      <c r="G29" s="348">
        <f t="shared" si="1"/>
        <v>231036820.71245992</v>
      </c>
      <c r="H29" s="348">
        <f t="shared" si="1"/>
        <v>340770982.39036739</v>
      </c>
      <c r="I29" s="348">
        <f t="shared" si="1"/>
        <v>328632167.15469432</v>
      </c>
      <c r="J29" s="349">
        <f>SUM(J20:J26)</f>
        <v>99.999999999999986</v>
      </c>
      <c r="K29" s="349">
        <f t="shared" ref="K29:O29" si="2">SUM(K20:K26)</f>
        <v>100</v>
      </c>
      <c r="L29" s="349">
        <f t="shared" si="2"/>
        <v>100</v>
      </c>
      <c r="M29" s="349">
        <f t="shared" si="2"/>
        <v>100</v>
      </c>
      <c r="N29" s="349">
        <f t="shared" si="2"/>
        <v>100</v>
      </c>
      <c r="O29" s="349">
        <f t="shared" si="2"/>
        <v>99.999999999999986</v>
      </c>
    </row>
    <row r="31" spans="1:15" s="312" customFormat="1" ht="14.4" x14ac:dyDescent="0.25">
      <c r="A31" s="303" t="s">
        <v>144</v>
      </c>
      <c r="B31" s="304"/>
      <c r="C31" s="350"/>
      <c r="D31" s="351" t="s">
        <v>156</v>
      </c>
      <c r="E31" s="352"/>
      <c r="F31" s="352"/>
      <c r="G31" s="352"/>
      <c r="H31" s="352"/>
      <c r="I31" s="352"/>
      <c r="J31" s="353" t="s">
        <v>157</v>
      </c>
      <c r="K31" s="354"/>
      <c r="L31" s="354"/>
      <c r="M31" s="354"/>
      <c r="N31" s="354"/>
      <c r="O31" s="354"/>
    </row>
    <row r="32" spans="1:15" x14ac:dyDescent="0.25">
      <c r="A32" s="313"/>
      <c r="B32" s="314"/>
      <c r="C32" s="315"/>
      <c r="D32" s="316" t="s">
        <v>147</v>
      </c>
      <c r="E32" s="317"/>
      <c r="F32" s="317"/>
      <c r="G32" s="317"/>
      <c r="H32" s="317"/>
      <c r="I32" s="318"/>
      <c r="J32" s="319" t="s">
        <v>148</v>
      </c>
      <c r="K32" s="320"/>
      <c r="L32" s="320"/>
      <c r="M32" s="320"/>
      <c r="N32" s="320"/>
      <c r="O32" s="321"/>
    </row>
    <row r="33" spans="1:15" x14ac:dyDescent="0.25">
      <c r="A33" s="322"/>
      <c r="B33" s="323"/>
      <c r="C33" s="324"/>
      <c r="D33" s="355">
        <v>1975</v>
      </c>
      <c r="E33" s="355">
        <v>1991</v>
      </c>
      <c r="F33" s="355">
        <v>2000</v>
      </c>
      <c r="G33" s="356">
        <v>2005</v>
      </c>
      <c r="H33" s="356">
        <v>2010</v>
      </c>
      <c r="I33" s="356">
        <v>2013</v>
      </c>
      <c r="J33" s="357">
        <v>1975</v>
      </c>
      <c r="K33" s="357">
        <v>1991</v>
      </c>
      <c r="L33" s="357">
        <v>2000</v>
      </c>
      <c r="M33" s="358">
        <v>2005</v>
      </c>
      <c r="N33" s="358">
        <v>2010</v>
      </c>
      <c r="O33" s="358">
        <v>2013</v>
      </c>
    </row>
    <row r="34" spans="1:15" x14ac:dyDescent="0.25">
      <c r="A34" s="328" t="s">
        <v>14</v>
      </c>
      <c r="B34" s="329"/>
      <c r="C34" s="148">
        <v>1</v>
      </c>
      <c r="D34" s="330">
        <v>3645042.1730179898</v>
      </c>
      <c r="E34" s="330">
        <v>5581427.4544106638</v>
      </c>
      <c r="F34" s="330">
        <v>5724918.7604806731</v>
      </c>
      <c r="G34" s="330">
        <v>6159770.0176407518</v>
      </c>
      <c r="H34" s="330">
        <v>7004276.1419069506</v>
      </c>
      <c r="I34" s="330">
        <v>7247165.0714525394</v>
      </c>
      <c r="J34" s="331">
        <f t="shared" ref="J34:O41" si="3">(+D34/D$43)*100</f>
        <v>3.0950894772900868</v>
      </c>
      <c r="K34" s="331">
        <f t="shared" si="3"/>
        <v>3.4871926108582314</v>
      </c>
      <c r="L34" s="331">
        <f t="shared" si="3"/>
        <v>2.9820348172659683</v>
      </c>
      <c r="M34" s="331">
        <f t="shared" si="3"/>
        <v>2.6661421320833436</v>
      </c>
      <c r="N34" s="331">
        <f t="shared" si="3"/>
        <v>2.5995607586163327</v>
      </c>
      <c r="O34" s="331">
        <f t="shared" si="3"/>
        <v>2.4944292622828166</v>
      </c>
    </row>
    <row r="35" spans="1:15" x14ac:dyDescent="0.25">
      <c r="A35" s="332" t="s">
        <v>149</v>
      </c>
      <c r="B35" s="329"/>
      <c r="C35" s="148">
        <v>2</v>
      </c>
      <c r="D35" s="330">
        <v>19082828.187960736</v>
      </c>
      <c r="E35" s="330">
        <v>20560230.682234608</v>
      </c>
      <c r="F35" s="330">
        <v>20237873.5317754</v>
      </c>
      <c r="G35" s="330">
        <v>21357129.696873125</v>
      </c>
      <c r="H35" s="330">
        <v>19187115.858674269</v>
      </c>
      <c r="I35" s="330">
        <v>18710216.000455491</v>
      </c>
      <c r="J35" s="331">
        <f t="shared" si="3"/>
        <v>16.203670058662016</v>
      </c>
      <c r="K35" s="331">
        <f t="shared" si="3"/>
        <v>12.845725416706982</v>
      </c>
      <c r="L35" s="331">
        <f t="shared" si="3"/>
        <v>10.541641903423718</v>
      </c>
      <c r="M35" s="331">
        <f t="shared" si="3"/>
        <v>9.2440372192679341</v>
      </c>
      <c r="N35" s="331">
        <f t="shared" si="3"/>
        <v>7.1210889529057297</v>
      </c>
      <c r="O35" s="331">
        <f t="shared" si="3"/>
        <v>6.4399402849277267</v>
      </c>
    </row>
    <row r="36" spans="1:15" x14ac:dyDescent="0.25">
      <c r="A36" s="332" t="s">
        <v>20</v>
      </c>
      <c r="B36" s="329"/>
      <c r="C36" s="148">
        <v>3</v>
      </c>
      <c r="D36" s="330">
        <v>22420810.106070194</v>
      </c>
      <c r="E36" s="330">
        <v>30210851.8022056</v>
      </c>
      <c r="F36" s="330">
        <v>36015858.36085809</v>
      </c>
      <c r="G36" s="330">
        <v>41909300.169803053</v>
      </c>
      <c r="H36" s="330">
        <v>45511672.660912983</v>
      </c>
      <c r="I36" s="330">
        <v>48078959.396089032</v>
      </c>
      <c r="J36" s="331">
        <f t="shared" si="3"/>
        <v>19.038027583137815</v>
      </c>
      <c r="K36" s="331">
        <f t="shared" si="3"/>
        <v>18.875289526361556</v>
      </c>
      <c r="L36" s="331">
        <f t="shared" si="3"/>
        <v>18.760186493333041</v>
      </c>
      <c r="M36" s="331">
        <f t="shared" si="3"/>
        <v>18.139662777805381</v>
      </c>
      <c r="N36" s="331">
        <f t="shared" si="3"/>
        <v>16.891161329354805</v>
      </c>
      <c r="O36" s="331">
        <f t="shared" si="3"/>
        <v>16.548479582744559</v>
      </c>
    </row>
    <row r="37" spans="1:15" x14ac:dyDescent="0.25">
      <c r="A37" s="332" t="s">
        <v>22</v>
      </c>
      <c r="B37" s="329"/>
      <c r="C37" s="148">
        <v>4</v>
      </c>
      <c r="D37" s="330">
        <v>6006739.5933727641</v>
      </c>
      <c r="E37" s="330">
        <v>4752615.8457001038</v>
      </c>
      <c r="F37" s="330">
        <v>4579666.5769532584</v>
      </c>
      <c r="G37" s="330">
        <v>6686083.4621685678</v>
      </c>
      <c r="H37" s="330">
        <v>10247378.367282856</v>
      </c>
      <c r="I37" s="330">
        <v>10785764.824617079</v>
      </c>
      <c r="J37" s="331">
        <f t="shared" si="3"/>
        <v>5.1004612911999958</v>
      </c>
      <c r="K37" s="331">
        <f t="shared" si="3"/>
        <v>2.9693634817874917</v>
      </c>
      <c r="L37" s="331">
        <f t="shared" si="3"/>
        <v>2.3854880314139573</v>
      </c>
      <c r="M37" s="331">
        <f t="shared" si="3"/>
        <v>2.8939471386207418</v>
      </c>
      <c r="N37" s="331">
        <f t="shared" si="3"/>
        <v>3.8032028067685375</v>
      </c>
      <c r="O37" s="331">
        <f t="shared" si="3"/>
        <v>3.7123933468281174</v>
      </c>
    </row>
    <row r="38" spans="1:15" x14ac:dyDescent="0.25">
      <c r="A38" s="332" t="s">
        <v>150</v>
      </c>
      <c r="B38" s="329"/>
      <c r="C38" s="148">
        <v>5</v>
      </c>
      <c r="D38" s="330">
        <v>16967671.492632803</v>
      </c>
      <c r="E38" s="330">
        <v>20725315.439063266</v>
      </c>
      <c r="F38" s="330">
        <v>27100451.52714929</v>
      </c>
      <c r="G38" s="330">
        <v>32713203.202539474</v>
      </c>
      <c r="H38" s="330">
        <v>38459626.416665331</v>
      </c>
      <c r="I38" s="330">
        <v>42133829.433636568</v>
      </c>
      <c r="J38" s="331">
        <f t="shared" si="3"/>
        <v>14.407641667278886</v>
      </c>
      <c r="K38" s="331">
        <f t="shared" si="3"/>
        <v>12.948867910070986</v>
      </c>
      <c r="L38" s="331">
        <f t="shared" si="3"/>
        <v>14.116268439554688</v>
      </c>
      <c r="M38" s="331">
        <f t="shared" si="3"/>
        <v>14.159302877203778</v>
      </c>
      <c r="N38" s="331">
        <f t="shared" si="3"/>
        <v>14.273871217845461</v>
      </c>
      <c r="O38" s="331">
        <f t="shared" si="3"/>
        <v>14.502202728249856</v>
      </c>
    </row>
    <row r="39" spans="1:15" x14ac:dyDescent="0.25">
      <c r="A39" s="332" t="s">
        <v>151</v>
      </c>
      <c r="B39" s="329"/>
      <c r="C39" s="148">
        <v>6</v>
      </c>
      <c r="D39" s="330">
        <v>7838229.2233476313</v>
      </c>
      <c r="E39" s="330">
        <v>11172257.054553842</v>
      </c>
      <c r="F39" s="330">
        <v>18498657.008263182</v>
      </c>
      <c r="G39" s="330">
        <v>25089756.596412044</v>
      </c>
      <c r="H39" s="330">
        <v>29783038.933244888</v>
      </c>
      <c r="I39" s="330">
        <v>32062262.427833449</v>
      </c>
      <c r="J39" s="331">
        <f t="shared" si="3"/>
        <v>6.6556214271958085</v>
      </c>
      <c r="K39" s="331">
        <f t="shared" si="3"/>
        <v>6.9802595421107423</v>
      </c>
      <c r="L39" s="331">
        <f t="shared" si="3"/>
        <v>9.635706912052374</v>
      </c>
      <c r="M39" s="331">
        <f t="shared" si="3"/>
        <v>10.859635498377052</v>
      </c>
      <c r="N39" s="331">
        <f t="shared" si="3"/>
        <v>11.053650329401075</v>
      </c>
      <c r="O39" s="331">
        <f t="shared" si="3"/>
        <v>11.035631840375475</v>
      </c>
    </row>
    <row r="40" spans="1:15" x14ac:dyDescent="0.25">
      <c r="A40" s="332" t="s">
        <v>152</v>
      </c>
      <c r="B40" s="329"/>
      <c r="C40" s="148">
        <v>7</v>
      </c>
      <c r="D40" s="330">
        <v>41807234.858681358</v>
      </c>
      <c r="E40" s="330">
        <v>67052339.606218264</v>
      </c>
      <c r="F40" s="330">
        <v>79822853.181412965</v>
      </c>
      <c r="G40" s="330">
        <v>97121577.567022935</v>
      </c>
      <c r="H40" s="330">
        <v>119247646.89856637</v>
      </c>
      <c r="I40" s="330">
        <v>131515801.18508634</v>
      </c>
      <c r="J40" s="331">
        <f t="shared" si="3"/>
        <v>35.499488495235404</v>
      </c>
      <c r="K40" s="331">
        <f t="shared" si="3"/>
        <v>41.893301512104003</v>
      </c>
      <c r="L40" s="331">
        <f t="shared" si="3"/>
        <v>41.578673402956255</v>
      </c>
      <c r="M40" s="331">
        <f t="shared" si="3"/>
        <v>42.037272356641772</v>
      </c>
      <c r="N40" s="331">
        <f t="shared" si="3"/>
        <v>44.257464605108069</v>
      </c>
      <c r="O40" s="331">
        <f t="shared" si="3"/>
        <v>45.266922954591465</v>
      </c>
    </row>
    <row r="41" spans="1:15" s="338" customFormat="1" x14ac:dyDescent="0.25">
      <c r="A41" s="333" t="s">
        <v>153</v>
      </c>
      <c r="B41" s="334"/>
      <c r="C41" s="335"/>
      <c r="D41" s="336">
        <v>119710695.74188271</v>
      </c>
      <c r="E41" s="336">
        <v>161704326.34719151</v>
      </c>
      <c r="F41" s="336">
        <v>192747137.43890101</v>
      </c>
      <c r="G41" s="336">
        <v>231036820.71245992</v>
      </c>
      <c r="H41" s="336">
        <v>268355743.86785296</v>
      </c>
      <c r="I41" s="336">
        <v>289035569.68926251</v>
      </c>
      <c r="J41" s="337">
        <f t="shared" si="3"/>
        <v>101.64911601091309</v>
      </c>
      <c r="K41" s="337">
        <f t="shared" si="3"/>
        <v>101.03045082779367</v>
      </c>
      <c r="L41" s="337">
        <f t="shared" si="3"/>
        <v>100.39944649326209</v>
      </c>
      <c r="M41" s="337">
        <f t="shared" si="3"/>
        <v>99.999999999999986</v>
      </c>
      <c r="N41" s="337">
        <f t="shared" si="3"/>
        <v>99.597309839677294</v>
      </c>
      <c r="O41" s="337">
        <f t="shared" si="3"/>
        <v>99.48425015369159</v>
      </c>
    </row>
    <row r="42" spans="1:15" x14ac:dyDescent="0.25">
      <c r="A42" s="339" t="s">
        <v>154</v>
      </c>
      <c r="B42" s="340"/>
      <c r="C42" s="341"/>
      <c r="D42" s="359"/>
      <c r="E42" s="359"/>
      <c r="F42" s="359"/>
      <c r="G42" s="359"/>
      <c r="H42" s="359"/>
      <c r="I42" s="359"/>
      <c r="J42" s="360"/>
      <c r="K42" s="360"/>
      <c r="L42" s="360"/>
      <c r="M42" s="360"/>
      <c r="N42" s="360"/>
      <c r="O42" s="360"/>
    </row>
    <row r="43" spans="1:15" x14ac:dyDescent="0.25">
      <c r="A43" s="345" t="s">
        <v>155</v>
      </c>
      <c r="B43" s="346"/>
      <c r="C43" s="347"/>
      <c r="D43" s="348">
        <f t="shared" ref="D43:I43" si="4">SUM(D34:D40)</f>
        <v>117768555.63508347</v>
      </c>
      <c r="E43" s="348">
        <f t="shared" si="4"/>
        <v>160055037.88438636</v>
      </c>
      <c r="F43" s="348">
        <f t="shared" si="4"/>
        <v>191980278.94689286</v>
      </c>
      <c r="G43" s="348">
        <f t="shared" si="4"/>
        <v>231036820.71245995</v>
      </c>
      <c r="H43" s="348">
        <f t="shared" si="4"/>
        <v>269440755.27725363</v>
      </c>
      <c r="I43" s="348">
        <f t="shared" si="4"/>
        <v>290533998.33917046</v>
      </c>
      <c r="J43" s="349">
        <f t="shared" ref="J43:O43" si="5">SUM(J34:J40)</f>
        <v>100.00000000000003</v>
      </c>
      <c r="K43" s="349">
        <f t="shared" si="5"/>
        <v>100</v>
      </c>
      <c r="L43" s="349">
        <f t="shared" si="5"/>
        <v>100</v>
      </c>
      <c r="M43" s="349">
        <f t="shared" si="5"/>
        <v>100</v>
      </c>
      <c r="N43" s="349">
        <f t="shared" si="5"/>
        <v>100</v>
      </c>
      <c r="O43" s="349">
        <f t="shared" si="5"/>
        <v>100.00000000000001</v>
      </c>
    </row>
    <row r="45" spans="1:15" s="312" customFormat="1" ht="14.4" x14ac:dyDescent="0.25">
      <c r="A45" s="303" t="s">
        <v>144</v>
      </c>
      <c r="B45" s="304"/>
      <c r="C45" s="350"/>
      <c r="D45" s="351" t="s">
        <v>158</v>
      </c>
      <c r="E45" s="352"/>
      <c r="F45" s="352"/>
      <c r="G45" s="352"/>
      <c r="H45" s="352"/>
      <c r="I45" s="352"/>
      <c r="J45" s="353" t="s">
        <v>159</v>
      </c>
      <c r="K45" s="354"/>
      <c r="L45" s="354"/>
      <c r="M45" s="354"/>
      <c r="N45" s="354"/>
      <c r="O45" s="354"/>
    </row>
    <row r="46" spans="1:15" x14ac:dyDescent="0.25">
      <c r="A46" s="313"/>
      <c r="B46" s="314"/>
      <c r="C46" s="315"/>
      <c r="D46" s="361" t="s">
        <v>160</v>
      </c>
      <c r="E46" s="362"/>
      <c r="F46" s="362"/>
      <c r="G46" s="362"/>
      <c r="H46" s="362"/>
      <c r="I46" s="363"/>
      <c r="J46" s="319" t="s">
        <v>148</v>
      </c>
      <c r="K46" s="320"/>
      <c r="L46" s="320"/>
      <c r="M46" s="320"/>
      <c r="N46" s="320"/>
      <c r="O46" s="321"/>
    </row>
    <row r="47" spans="1:15" x14ac:dyDescent="0.25">
      <c r="A47" s="322"/>
      <c r="B47" s="323"/>
      <c r="C47" s="324"/>
      <c r="D47" s="355">
        <v>1975</v>
      </c>
      <c r="E47" s="364">
        <v>1991</v>
      </c>
      <c r="F47" s="364">
        <v>2000</v>
      </c>
      <c r="G47" s="364">
        <v>2005</v>
      </c>
      <c r="H47" s="364">
        <v>2010</v>
      </c>
      <c r="I47" s="364">
        <v>2013</v>
      </c>
      <c r="J47" s="357">
        <v>1975</v>
      </c>
      <c r="K47" s="365">
        <v>1991</v>
      </c>
      <c r="L47" s="365">
        <v>2000</v>
      </c>
      <c r="M47" s="365">
        <v>2005</v>
      </c>
      <c r="N47" s="365">
        <v>2010</v>
      </c>
      <c r="O47" s="365">
        <v>2013</v>
      </c>
    </row>
    <row r="48" spans="1:15" x14ac:dyDescent="0.25">
      <c r="A48" s="328" t="s">
        <v>14</v>
      </c>
      <c r="B48" s="329"/>
      <c r="C48" s="148">
        <v>1</v>
      </c>
      <c r="D48" s="366" t="s">
        <v>29</v>
      </c>
      <c r="E48" s="367">
        <v>1390</v>
      </c>
      <c r="F48" s="367">
        <v>1689</v>
      </c>
      <c r="G48" s="367">
        <v>876</v>
      </c>
      <c r="H48" s="367">
        <v>569</v>
      </c>
      <c r="I48" s="367">
        <v>614</v>
      </c>
      <c r="J48" s="368" t="s">
        <v>29</v>
      </c>
      <c r="K48" s="369">
        <f t="shared" ref="K48:O54" si="6">(+E48/E$56)*100</f>
        <v>14.762107051826678</v>
      </c>
      <c r="L48" s="369">
        <f t="shared" si="6"/>
        <v>13.501199040767386</v>
      </c>
      <c r="M48" s="369">
        <f t="shared" si="6"/>
        <v>6.3727629855958092</v>
      </c>
      <c r="N48" s="369">
        <f t="shared" si="6"/>
        <v>4.0698090265360127</v>
      </c>
      <c r="O48" s="369">
        <f t="shared" si="6"/>
        <v>4.1925571867531586</v>
      </c>
    </row>
    <row r="49" spans="1:15" x14ac:dyDescent="0.25">
      <c r="A49" s="332" t="s">
        <v>149</v>
      </c>
      <c r="B49" s="329"/>
      <c r="C49" s="148">
        <v>2</v>
      </c>
      <c r="D49" s="366" t="s">
        <v>29</v>
      </c>
      <c r="E49" s="367">
        <v>503</v>
      </c>
      <c r="F49" s="367">
        <v>617</v>
      </c>
      <c r="G49" s="367">
        <v>478</v>
      </c>
      <c r="H49" s="367">
        <v>352</v>
      </c>
      <c r="I49" s="367">
        <v>436</v>
      </c>
      <c r="J49" s="368" t="s">
        <v>29</v>
      </c>
      <c r="K49" s="369">
        <f t="shared" si="6"/>
        <v>5.3419711129991505</v>
      </c>
      <c r="L49" s="369">
        <f t="shared" si="6"/>
        <v>4.9320543565147883</v>
      </c>
      <c r="M49" s="369">
        <f t="shared" si="6"/>
        <v>3.4773752364324166</v>
      </c>
      <c r="N49" s="369">
        <f t="shared" si="6"/>
        <v>2.5177025963808024</v>
      </c>
      <c r="O49" s="369">
        <f t="shared" si="6"/>
        <v>2.9771252987367705</v>
      </c>
    </row>
    <row r="50" spans="1:15" x14ac:dyDescent="0.25">
      <c r="A50" s="332" t="s">
        <v>20</v>
      </c>
      <c r="B50" s="329"/>
      <c r="C50" s="148">
        <v>3</v>
      </c>
      <c r="D50" s="366" t="s">
        <v>29</v>
      </c>
      <c r="E50" s="367">
        <v>1191</v>
      </c>
      <c r="F50" s="367">
        <v>1397</v>
      </c>
      <c r="G50" s="367">
        <v>1623</v>
      </c>
      <c r="H50" s="367">
        <v>1549</v>
      </c>
      <c r="I50" s="367">
        <v>1480</v>
      </c>
      <c r="J50" s="368" t="s">
        <v>29</v>
      </c>
      <c r="K50" s="369">
        <f t="shared" si="6"/>
        <v>12.648683092608326</v>
      </c>
      <c r="L50" s="369">
        <f t="shared" si="6"/>
        <v>11.167066346922462</v>
      </c>
      <c r="M50" s="369">
        <f t="shared" si="6"/>
        <v>11.807071147970319</v>
      </c>
      <c r="N50" s="369">
        <f t="shared" si="6"/>
        <v>11.079321936914384</v>
      </c>
      <c r="O50" s="369">
        <f t="shared" si="6"/>
        <v>10.105838170023899</v>
      </c>
    </row>
    <row r="51" spans="1:15" x14ac:dyDescent="0.25">
      <c r="A51" s="332" t="s">
        <v>22</v>
      </c>
      <c r="B51" s="329"/>
      <c r="C51" s="148">
        <v>4</v>
      </c>
      <c r="D51" s="366" t="s">
        <v>29</v>
      </c>
      <c r="E51" s="367">
        <v>394</v>
      </c>
      <c r="F51" s="367">
        <v>606</v>
      </c>
      <c r="G51" s="367">
        <v>888</v>
      </c>
      <c r="H51" s="367">
        <v>945</v>
      </c>
      <c r="I51" s="367">
        <v>938</v>
      </c>
      <c r="J51" s="368" t="s">
        <v>29</v>
      </c>
      <c r="K51" s="369">
        <f t="shared" si="6"/>
        <v>4.1843670348343238</v>
      </c>
      <c r="L51" s="369">
        <f t="shared" si="6"/>
        <v>4.8441247002398082</v>
      </c>
      <c r="M51" s="369">
        <f t="shared" si="6"/>
        <v>6.4600611086861628</v>
      </c>
      <c r="N51" s="369">
        <f t="shared" si="6"/>
        <v>6.7591731635791437</v>
      </c>
      <c r="O51" s="369">
        <f t="shared" si="6"/>
        <v>6.4049163537043361</v>
      </c>
    </row>
    <row r="52" spans="1:15" x14ac:dyDescent="0.25">
      <c r="A52" s="332" t="s">
        <v>150</v>
      </c>
      <c r="B52" s="329"/>
      <c r="C52" s="148">
        <v>5</v>
      </c>
      <c r="D52" s="366" t="s">
        <v>29</v>
      </c>
      <c r="E52" s="367">
        <v>1752</v>
      </c>
      <c r="F52" s="367">
        <v>2438</v>
      </c>
      <c r="G52" s="367">
        <v>3163</v>
      </c>
      <c r="H52" s="367">
        <v>2932</v>
      </c>
      <c r="I52" s="367">
        <v>2899</v>
      </c>
      <c r="J52" s="368" t="s">
        <v>29</v>
      </c>
      <c r="K52" s="369">
        <f t="shared" si="6"/>
        <v>18.606627017841969</v>
      </c>
      <c r="L52" s="369">
        <f t="shared" si="6"/>
        <v>19.488409272581936</v>
      </c>
      <c r="M52" s="369">
        <f t="shared" si="6"/>
        <v>23.010330277899023</v>
      </c>
      <c r="N52" s="369">
        <f t="shared" si="6"/>
        <v>20.971318217581004</v>
      </c>
      <c r="O52" s="369">
        <f t="shared" si="6"/>
        <v>19.795151928986002</v>
      </c>
    </row>
    <row r="53" spans="1:15" x14ac:dyDescent="0.25">
      <c r="A53" s="332" t="s">
        <v>151</v>
      </c>
      <c r="B53" s="329"/>
      <c r="C53" s="148">
        <v>6</v>
      </c>
      <c r="D53" s="366" t="s">
        <v>29</v>
      </c>
      <c r="E53" s="367">
        <v>368</v>
      </c>
      <c r="F53" s="367">
        <v>520</v>
      </c>
      <c r="G53" s="367">
        <v>584</v>
      </c>
      <c r="H53" s="367">
        <v>690</v>
      </c>
      <c r="I53" s="367">
        <v>741</v>
      </c>
      <c r="J53" s="368" t="s">
        <v>29</v>
      </c>
      <c r="K53" s="369">
        <f t="shared" si="6"/>
        <v>3.9082412914188618</v>
      </c>
      <c r="L53" s="369">
        <f t="shared" si="6"/>
        <v>4.1566746602717828</v>
      </c>
      <c r="M53" s="369">
        <f t="shared" si="6"/>
        <v>4.2485086570638728</v>
      </c>
      <c r="N53" s="369">
        <f t="shared" si="6"/>
        <v>4.9352692940419143</v>
      </c>
      <c r="O53" s="369">
        <f t="shared" si="6"/>
        <v>5.0597473540457498</v>
      </c>
    </row>
    <row r="54" spans="1:15" x14ac:dyDescent="0.25">
      <c r="A54" s="332" t="s">
        <v>152</v>
      </c>
      <c r="B54" s="329"/>
      <c r="C54" s="148">
        <v>7</v>
      </c>
      <c r="D54" s="366" t="s">
        <v>29</v>
      </c>
      <c r="E54" s="367">
        <v>3818</v>
      </c>
      <c r="F54" s="367">
        <v>5243</v>
      </c>
      <c r="G54" s="367">
        <v>6134</v>
      </c>
      <c r="H54" s="367">
        <v>6944</v>
      </c>
      <c r="I54" s="367">
        <v>7537</v>
      </c>
      <c r="J54" s="368" t="s">
        <v>29</v>
      </c>
      <c r="K54" s="369">
        <f t="shared" si="6"/>
        <v>40.548003398470691</v>
      </c>
      <c r="L54" s="369">
        <f t="shared" si="6"/>
        <v>41.910471622701841</v>
      </c>
      <c r="M54" s="369">
        <f t="shared" si="6"/>
        <v>44.623890586352395</v>
      </c>
      <c r="N54" s="369">
        <f t="shared" si="6"/>
        <v>49.667405764966745</v>
      </c>
      <c r="O54" s="369">
        <f t="shared" si="6"/>
        <v>51.464663707750077</v>
      </c>
    </row>
    <row r="55" spans="1:15" x14ac:dyDescent="0.25">
      <c r="A55" s="339" t="s">
        <v>154</v>
      </c>
      <c r="B55" s="340"/>
      <c r="C55" s="341"/>
      <c r="D55" s="370"/>
      <c r="E55" s="359"/>
      <c r="F55" s="359"/>
      <c r="G55" s="359"/>
      <c r="H55" s="359"/>
      <c r="I55" s="359"/>
      <c r="J55" s="371"/>
      <c r="K55" s="360"/>
      <c r="L55" s="360"/>
      <c r="M55" s="360"/>
      <c r="N55" s="360"/>
      <c r="O55" s="360"/>
    </row>
    <row r="56" spans="1:15" x14ac:dyDescent="0.25">
      <c r="A56" s="345" t="s">
        <v>155</v>
      </c>
      <c r="B56" s="346"/>
      <c r="C56" s="347"/>
      <c r="D56" s="372" t="s">
        <v>29</v>
      </c>
      <c r="E56" s="348">
        <f t="shared" ref="E56:I56" si="7">SUM(E48:E54)</f>
        <v>9416</v>
      </c>
      <c r="F56" s="348">
        <f t="shared" si="7"/>
        <v>12510</v>
      </c>
      <c r="G56" s="348">
        <f t="shared" si="7"/>
        <v>13746</v>
      </c>
      <c r="H56" s="348">
        <f t="shared" si="7"/>
        <v>13981</v>
      </c>
      <c r="I56" s="348">
        <f t="shared" si="7"/>
        <v>14645</v>
      </c>
      <c r="J56" s="373" t="s">
        <v>29</v>
      </c>
      <c r="K56" s="374">
        <f t="shared" ref="K56:O56" si="8">SUM(K48:K54)</f>
        <v>100</v>
      </c>
      <c r="L56" s="374">
        <f t="shared" si="8"/>
        <v>100</v>
      </c>
      <c r="M56" s="374">
        <f t="shared" si="8"/>
        <v>100</v>
      </c>
      <c r="N56" s="374">
        <f t="shared" si="8"/>
        <v>100.00000000000001</v>
      </c>
      <c r="O56" s="374">
        <f t="shared" si="8"/>
        <v>100</v>
      </c>
    </row>
    <row r="58" spans="1:15" s="312" customFormat="1" ht="46.05" customHeight="1" x14ac:dyDescent="0.25">
      <c r="A58" s="303" t="s">
        <v>144</v>
      </c>
      <c r="B58" s="304"/>
      <c r="C58" s="350"/>
      <c r="D58" s="375" t="s">
        <v>161</v>
      </c>
      <c r="E58" s="375"/>
      <c r="F58" s="375"/>
      <c r="G58" s="375"/>
      <c r="H58" s="375"/>
      <c r="I58" s="375"/>
      <c r="J58" s="376" t="s">
        <v>162</v>
      </c>
      <c r="K58" s="377"/>
      <c r="L58" s="377"/>
      <c r="M58" s="377"/>
      <c r="N58" s="377"/>
      <c r="O58" s="378"/>
    </row>
    <row r="59" spans="1:15" x14ac:dyDescent="0.25">
      <c r="A59" s="313"/>
      <c r="B59" s="314"/>
      <c r="C59" s="315"/>
      <c r="D59" s="379" t="s">
        <v>148</v>
      </c>
      <c r="E59" s="380"/>
      <c r="F59" s="380"/>
      <c r="G59" s="380"/>
      <c r="H59" s="380"/>
      <c r="I59" s="381"/>
      <c r="J59" s="379" t="s">
        <v>148</v>
      </c>
      <c r="K59" s="380"/>
      <c r="L59" s="380"/>
      <c r="M59" s="380"/>
      <c r="N59" s="380"/>
      <c r="O59" s="381"/>
    </row>
    <row r="60" spans="1:15" x14ac:dyDescent="0.25">
      <c r="A60" s="322"/>
      <c r="B60" s="323"/>
      <c r="C60" s="324"/>
      <c r="D60" s="357">
        <v>1975</v>
      </c>
      <c r="E60" s="365">
        <v>1991</v>
      </c>
      <c r="F60" s="365">
        <v>2000</v>
      </c>
      <c r="G60" s="365">
        <v>2005</v>
      </c>
      <c r="H60" s="365">
        <v>2010</v>
      </c>
      <c r="I60" s="365">
        <v>2013</v>
      </c>
      <c r="J60" s="357">
        <v>1975</v>
      </c>
      <c r="K60" s="365">
        <v>1991</v>
      </c>
      <c r="L60" s="365">
        <v>2000</v>
      </c>
      <c r="M60" s="365">
        <v>2005</v>
      </c>
      <c r="N60" s="365">
        <v>2010</v>
      </c>
      <c r="O60" s="365">
        <v>2013</v>
      </c>
    </row>
    <row r="61" spans="1:15" x14ac:dyDescent="0.25">
      <c r="A61" s="328" t="s">
        <v>14</v>
      </c>
      <c r="B61" s="329"/>
      <c r="C61" s="148">
        <v>1</v>
      </c>
      <c r="D61" s="368" t="s">
        <v>29</v>
      </c>
      <c r="E61" s="382">
        <f t="shared" ref="E61:I67" si="9">(E34*1000)/(E48*1000)</f>
        <v>4015.4154348278157</v>
      </c>
      <c r="F61" s="382">
        <f t="shared" si="9"/>
        <v>3389.5315337363368</v>
      </c>
      <c r="G61" s="382">
        <f t="shared" si="9"/>
        <v>7031.7009333798533</v>
      </c>
      <c r="H61" s="382">
        <f t="shared" si="9"/>
        <v>12309.799897903253</v>
      </c>
      <c r="I61" s="382">
        <f t="shared" si="9"/>
        <v>11803.200442105113</v>
      </c>
      <c r="J61" s="368" t="s">
        <v>29</v>
      </c>
      <c r="K61" s="369">
        <f t="shared" ref="K61:O67" si="10">+E61/E$69</f>
        <v>0.23622593973986408</v>
      </c>
      <c r="L61" s="369">
        <f t="shared" si="10"/>
        <v>0.22087185058612946</v>
      </c>
      <c r="M61" s="369">
        <f t="shared" si="10"/>
        <v>0.41836517976732462</v>
      </c>
      <c r="N61" s="369">
        <f t="shared" si="10"/>
        <v>0.6387426883341818</v>
      </c>
      <c r="O61" s="369">
        <f t="shared" si="10"/>
        <v>0.59496606752657732</v>
      </c>
    </row>
    <row r="62" spans="1:15" x14ac:dyDescent="0.25">
      <c r="A62" s="332" t="s">
        <v>149</v>
      </c>
      <c r="B62" s="329"/>
      <c r="C62" s="148">
        <v>2</v>
      </c>
      <c r="D62" s="368" t="s">
        <v>29</v>
      </c>
      <c r="E62" s="382">
        <f t="shared" si="9"/>
        <v>40875.210103846141</v>
      </c>
      <c r="F62" s="382">
        <f t="shared" si="9"/>
        <v>32800.443325405831</v>
      </c>
      <c r="G62" s="382">
        <f t="shared" si="9"/>
        <v>44680.187650362182</v>
      </c>
      <c r="H62" s="382">
        <f t="shared" si="9"/>
        <v>54508.851871233725</v>
      </c>
      <c r="I62" s="382">
        <f t="shared" si="9"/>
        <v>42913.339450585983</v>
      </c>
      <c r="J62" s="368" t="s">
        <v>29</v>
      </c>
      <c r="K62" s="369">
        <f t="shared" si="10"/>
        <v>2.40467893685314</v>
      </c>
      <c r="L62" s="369">
        <f t="shared" si="10"/>
        <v>2.1373734232063324</v>
      </c>
      <c r="M62" s="369">
        <f t="shared" si="10"/>
        <v>2.6583375651894769</v>
      </c>
      <c r="N62" s="369">
        <f t="shared" si="10"/>
        <v>2.8284075184822446</v>
      </c>
      <c r="O62" s="369">
        <f t="shared" si="10"/>
        <v>2.1631404924946458</v>
      </c>
    </row>
    <row r="63" spans="1:15" x14ac:dyDescent="0.25">
      <c r="A63" s="332" t="s">
        <v>20</v>
      </c>
      <c r="B63" s="329"/>
      <c r="C63" s="148">
        <v>3</v>
      </c>
      <c r="D63" s="368" t="s">
        <v>29</v>
      </c>
      <c r="E63" s="382">
        <f t="shared" si="9"/>
        <v>25365.954493875401</v>
      </c>
      <c r="F63" s="382">
        <f t="shared" si="9"/>
        <v>25780.857810206224</v>
      </c>
      <c r="G63" s="382">
        <f t="shared" si="9"/>
        <v>25822.119636354317</v>
      </c>
      <c r="H63" s="382">
        <f t="shared" si="9"/>
        <v>29381.325152300185</v>
      </c>
      <c r="I63" s="382">
        <f t="shared" si="9"/>
        <v>32485.783375735835</v>
      </c>
      <c r="J63" s="368" t="s">
        <v>29</v>
      </c>
      <c r="K63" s="369">
        <f t="shared" si="10"/>
        <v>1.4922730997499616</v>
      </c>
      <c r="L63" s="369">
        <f t="shared" si="10"/>
        <v>1.6799565714502245</v>
      </c>
      <c r="M63" s="369">
        <f t="shared" si="10"/>
        <v>1.5363389066156055</v>
      </c>
      <c r="N63" s="369">
        <f t="shared" si="10"/>
        <v>1.5245663430968983</v>
      </c>
      <c r="O63" s="369">
        <f t="shared" si="10"/>
        <v>1.6375167803330679</v>
      </c>
    </row>
    <row r="64" spans="1:15" x14ac:dyDescent="0.25">
      <c r="A64" s="332" t="s">
        <v>22</v>
      </c>
      <c r="B64" s="329"/>
      <c r="C64" s="148">
        <v>4</v>
      </c>
      <c r="D64" s="368" t="s">
        <v>29</v>
      </c>
      <c r="E64" s="382">
        <f t="shared" si="9"/>
        <v>12062.476765736305</v>
      </c>
      <c r="F64" s="382">
        <f t="shared" si="9"/>
        <v>7557.2055725301298</v>
      </c>
      <c r="G64" s="382">
        <f t="shared" si="9"/>
        <v>7529.3732682078462</v>
      </c>
      <c r="H64" s="382">
        <f t="shared" si="9"/>
        <v>10843.78663204535</v>
      </c>
      <c r="I64" s="382">
        <f t="shared" si="9"/>
        <v>11498.683181894541</v>
      </c>
      <c r="J64" s="368" t="s">
        <v>29</v>
      </c>
      <c r="K64" s="369">
        <f t="shared" si="10"/>
        <v>0.7096326534139854</v>
      </c>
      <c r="L64" s="369">
        <f t="shared" si="10"/>
        <v>0.49244975698001003</v>
      </c>
      <c r="M64" s="369">
        <f t="shared" si="10"/>
        <v>0.44797519557973769</v>
      </c>
      <c r="N64" s="369">
        <f t="shared" si="10"/>
        <v>0.56267278774000973</v>
      </c>
      <c r="O64" s="369">
        <f t="shared" si="10"/>
        <v>0.57961621070679947</v>
      </c>
    </row>
    <row r="65" spans="1:15" x14ac:dyDescent="0.25">
      <c r="A65" s="332" t="s">
        <v>150</v>
      </c>
      <c r="B65" s="329"/>
      <c r="C65" s="148">
        <v>5</v>
      </c>
      <c r="D65" s="368" t="s">
        <v>29</v>
      </c>
      <c r="E65" s="382">
        <f t="shared" si="9"/>
        <v>11829.517944670813</v>
      </c>
      <c r="F65" s="382">
        <f t="shared" si="9"/>
        <v>11115.853784720792</v>
      </c>
      <c r="G65" s="382">
        <f t="shared" si="9"/>
        <v>10342.460702668186</v>
      </c>
      <c r="H65" s="382">
        <f t="shared" si="9"/>
        <v>13117.198641427465</v>
      </c>
      <c r="I65" s="382">
        <f t="shared" si="9"/>
        <v>14533.918397253041</v>
      </c>
      <c r="J65" s="368" t="s">
        <v>29</v>
      </c>
      <c r="K65" s="369">
        <f t="shared" si="10"/>
        <v>0.6959277411029019</v>
      </c>
      <c r="L65" s="369">
        <f t="shared" si="10"/>
        <v>0.72434174806738783</v>
      </c>
      <c r="M65" s="369">
        <f t="shared" si="10"/>
        <v>0.61534548640544762</v>
      </c>
      <c r="N65" s="369">
        <f t="shared" si="10"/>
        <v>0.68063776772407014</v>
      </c>
      <c r="O65" s="369">
        <f t="shared" si="10"/>
        <v>0.73261386324670275</v>
      </c>
    </row>
    <row r="66" spans="1:15" x14ac:dyDescent="0.25">
      <c r="A66" s="332" t="s">
        <v>151</v>
      </c>
      <c r="B66" s="329"/>
      <c r="C66" s="148">
        <v>6</v>
      </c>
      <c r="D66" s="368" t="s">
        <v>29</v>
      </c>
      <c r="E66" s="382">
        <f t="shared" si="9"/>
        <v>30359.394169983269</v>
      </c>
      <c r="F66" s="382">
        <f t="shared" si="9"/>
        <v>35574.340400506124</v>
      </c>
      <c r="G66" s="382">
        <f t="shared" si="9"/>
        <v>42961.911980157609</v>
      </c>
      <c r="H66" s="382">
        <f t="shared" si="9"/>
        <v>43163.82454093462</v>
      </c>
      <c r="I66" s="382">
        <f t="shared" si="9"/>
        <v>43268.910159019499</v>
      </c>
      <c r="J66" s="368" t="s">
        <v>29</v>
      </c>
      <c r="K66" s="369">
        <f t="shared" si="10"/>
        <v>1.7860359741444227</v>
      </c>
      <c r="L66" s="369">
        <f t="shared" si="10"/>
        <v>2.3181287205726</v>
      </c>
      <c r="M66" s="369">
        <f t="shared" si="10"/>
        <v>2.5561053006967627</v>
      </c>
      <c r="N66" s="369">
        <f t="shared" si="10"/>
        <v>2.239725873266035</v>
      </c>
      <c r="O66" s="369">
        <f t="shared" si="10"/>
        <v>2.1810638097476227</v>
      </c>
    </row>
    <row r="67" spans="1:15" x14ac:dyDescent="0.25">
      <c r="A67" s="332" t="s">
        <v>152</v>
      </c>
      <c r="B67" s="329"/>
      <c r="C67" s="148">
        <v>7</v>
      </c>
      <c r="D67" s="368" t="s">
        <v>29</v>
      </c>
      <c r="E67" s="382">
        <f t="shared" si="9"/>
        <v>17562.163333215889</v>
      </c>
      <c r="F67" s="382">
        <f t="shared" si="9"/>
        <v>15224.652523633982</v>
      </c>
      <c r="G67" s="382">
        <f t="shared" si="9"/>
        <v>15833.31880779637</v>
      </c>
      <c r="H67" s="382">
        <f t="shared" si="9"/>
        <v>17172.760210046999</v>
      </c>
      <c r="I67" s="382">
        <f t="shared" si="9"/>
        <v>17449.356665130203</v>
      </c>
      <c r="J67" s="368" t="s">
        <v>29</v>
      </c>
      <c r="K67" s="369">
        <f t="shared" si="10"/>
        <v>1.0331779126190972</v>
      </c>
      <c r="L67" s="369">
        <f t="shared" si="10"/>
        <v>0.99208316664311036</v>
      </c>
      <c r="M67" s="369">
        <f t="shared" si="10"/>
        <v>0.94203512522725419</v>
      </c>
      <c r="N67" s="369">
        <f t="shared" si="10"/>
        <v>0.89107663111177393</v>
      </c>
      <c r="O67" s="369">
        <f t="shared" si="10"/>
        <v>0.87957288930607935</v>
      </c>
    </row>
    <row r="68" spans="1:15" s="385" customFormat="1" x14ac:dyDescent="0.25">
      <c r="A68" s="339" t="s">
        <v>154</v>
      </c>
      <c r="B68" s="340"/>
      <c r="C68" s="341"/>
      <c r="D68" s="371"/>
      <c r="E68" s="383"/>
      <c r="F68" s="383"/>
      <c r="G68" s="383"/>
      <c r="H68" s="383"/>
      <c r="I68" s="383"/>
      <c r="J68" s="371"/>
      <c r="K68" s="384"/>
      <c r="L68" s="384"/>
      <c r="M68" s="384"/>
      <c r="N68" s="384"/>
      <c r="O68" s="384"/>
    </row>
    <row r="69" spans="1:15" s="385" customFormat="1" x14ac:dyDescent="0.25">
      <c r="A69" s="345" t="s">
        <v>155</v>
      </c>
      <c r="B69" s="346"/>
      <c r="C69" s="347"/>
      <c r="D69" s="373" t="s">
        <v>29</v>
      </c>
      <c r="E69" s="386">
        <f>(E43*1000)/(E56*1000)</f>
        <v>16998.198585852417</v>
      </c>
      <c r="F69" s="386">
        <f>(F43*1000)/(F56*1000)</f>
        <v>15346.145399431884</v>
      </c>
      <c r="G69" s="386">
        <f>(G43*1000)/(G56*1000)</f>
        <v>16807.567344133564</v>
      </c>
      <c r="H69" s="386">
        <f>(H43*1000)/(H56*1000)</f>
        <v>19271.922986714373</v>
      </c>
      <c r="I69" s="386">
        <f>(I43*1000)/(I56*1000)</f>
        <v>19838.443041254384</v>
      </c>
      <c r="J69" s="373" t="s">
        <v>29</v>
      </c>
      <c r="K69" s="387">
        <f>+E69/E$69</f>
        <v>1</v>
      </c>
      <c r="L69" s="387">
        <f>+F69/F$69</f>
        <v>1</v>
      </c>
      <c r="M69" s="387">
        <f>+G69/G$69</f>
        <v>1</v>
      </c>
      <c r="N69" s="387">
        <f>+H69/H$69</f>
        <v>1</v>
      </c>
      <c r="O69" s="387">
        <f>+I69/I$69</f>
        <v>1</v>
      </c>
    </row>
    <row r="70" spans="1:15" x14ac:dyDescent="0.25">
      <c r="A70" s="388"/>
      <c r="B70" s="388"/>
      <c r="C70" s="388"/>
      <c r="D70" s="389"/>
      <c r="E70" s="390"/>
      <c r="F70" s="390"/>
      <c r="G70" s="390"/>
      <c r="H70" s="390"/>
      <c r="I70" s="390"/>
      <c r="J70" s="389"/>
      <c r="K70" s="391"/>
      <c r="L70" s="391"/>
      <c r="M70" s="391"/>
      <c r="N70" s="391"/>
      <c r="O70" s="391"/>
    </row>
    <row r="71" spans="1:15" x14ac:dyDescent="0.25">
      <c r="D71" s="392"/>
      <c r="E71" s="392"/>
      <c r="F71" s="392"/>
      <c r="G71" s="392"/>
      <c r="H71" s="392"/>
      <c r="J71" s="393">
        <v>22</v>
      </c>
      <c r="K71" s="393">
        <v>9</v>
      </c>
      <c r="L71" s="393">
        <v>5</v>
      </c>
      <c r="M71" s="393">
        <v>5</v>
      </c>
      <c r="N71" s="393">
        <v>3</v>
      </c>
      <c r="O71" s="394" t="s">
        <v>163</v>
      </c>
    </row>
    <row r="72" spans="1:15" s="312" customFormat="1" ht="28.05" customHeight="1" x14ac:dyDescent="0.25">
      <c r="A72" s="303" t="s">
        <v>144</v>
      </c>
      <c r="B72" s="304"/>
      <c r="C72" s="350"/>
      <c r="D72" s="395" t="s">
        <v>164</v>
      </c>
      <c r="E72" s="395"/>
      <c r="F72" s="395"/>
      <c r="G72" s="395"/>
      <c r="H72" s="395"/>
      <c r="I72" s="395"/>
      <c r="J72" s="396" t="s">
        <v>165</v>
      </c>
      <c r="K72" s="397"/>
      <c r="L72" s="397"/>
      <c r="M72" s="397"/>
      <c r="N72" s="398"/>
    </row>
    <row r="73" spans="1:15" x14ac:dyDescent="0.25">
      <c r="A73" s="313"/>
      <c r="B73" s="314"/>
      <c r="C73" s="399"/>
      <c r="D73" s="400" t="s">
        <v>148</v>
      </c>
      <c r="E73" s="400"/>
      <c r="F73" s="400"/>
      <c r="G73" s="400"/>
      <c r="H73" s="400"/>
      <c r="I73" s="400"/>
      <c r="J73" s="400" t="s">
        <v>148</v>
      </c>
      <c r="K73" s="400"/>
      <c r="L73" s="400"/>
      <c r="M73" s="400"/>
      <c r="N73" s="400"/>
    </row>
    <row r="74" spans="1:15" ht="24" x14ac:dyDescent="0.25">
      <c r="A74" s="322"/>
      <c r="B74" s="323"/>
      <c r="C74" s="324"/>
      <c r="D74" s="324"/>
      <c r="E74" s="365">
        <v>1991</v>
      </c>
      <c r="F74" s="365">
        <v>2000</v>
      </c>
      <c r="G74" s="365">
        <v>2005</v>
      </c>
      <c r="H74" s="365">
        <v>2010</v>
      </c>
      <c r="I74" s="365">
        <v>2013</v>
      </c>
      <c r="J74" s="401" t="s">
        <v>166</v>
      </c>
      <c r="K74" s="401" t="s">
        <v>167</v>
      </c>
      <c r="L74" s="401" t="s">
        <v>12</v>
      </c>
      <c r="M74" s="401" t="s">
        <v>13</v>
      </c>
      <c r="N74" s="401" t="s">
        <v>168</v>
      </c>
    </row>
    <row r="75" spans="1:15" x14ac:dyDescent="0.25">
      <c r="A75" s="328" t="s">
        <v>14</v>
      </c>
      <c r="B75" s="329"/>
      <c r="C75" s="148">
        <v>1</v>
      </c>
      <c r="D75" s="402"/>
      <c r="E75" s="403">
        <f t="shared" ref="E75:I81" si="11">(E61/$E61)*100</f>
        <v>100</v>
      </c>
      <c r="F75" s="404">
        <f t="shared" si="11"/>
        <v>84.412972673690064</v>
      </c>
      <c r="G75" s="404">
        <f t="shared" si="11"/>
        <v>175.11764467482499</v>
      </c>
      <c r="H75" s="404">
        <f t="shared" si="11"/>
        <v>306.56354486098417</v>
      </c>
      <c r="I75" s="404">
        <f t="shared" si="11"/>
        <v>293.94718015301061</v>
      </c>
      <c r="J75" s="405">
        <f t="shared" ref="J75:J81" si="12">EXP(LN(I61/E61)/J$71)-1</f>
        <v>5.0231325880086608E-2</v>
      </c>
      <c r="K75" s="405">
        <f t="shared" ref="K75:N81" si="13">EXP(LN(F61/E61)/K$71)-1</f>
        <v>-1.8651543256986258E-2</v>
      </c>
      <c r="L75" s="405">
        <f t="shared" si="13"/>
        <v>0.15713530004696796</v>
      </c>
      <c r="M75" s="405">
        <f t="shared" si="13"/>
        <v>0.11850549072569816</v>
      </c>
      <c r="N75" s="405">
        <f t="shared" si="13"/>
        <v>-1.391066207659164E-2</v>
      </c>
    </row>
    <row r="76" spans="1:15" x14ac:dyDescent="0.25">
      <c r="A76" s="332" t="s">
        <v>149</v>
      </c>
      <c r="B76" s="329"/>
      <c r="C76" s="148">
        <v>2</v>
      </c>
      <c r="D76" s="402"/>
      <c r="E76" s="403">
        <f t="shared" si="11"/>
        <v>100</v>
      </c>
      <c r="F76" s="404">
        <f t="shared" si="11"/>
        <v>80.245320432785945</v>
      </c>
      <c r="G76" s="404">
        <f t="shared" si="11"/>
        <v>109.30876572095715</v>
      </c>
      <c r="H76" s="404">
        <f t="shared" si="11"/>
        <v>133.35430382559608</v>
      </c>
      <c r="I76" s="404">
        <f t="shared" si="11"/>
        <v>104.98622353637288</v>
      </c>
      <c r="J76" s="405">
        <f t="shared" si="12"/>
        <v>2.214218275319535E-3</v>
      </c>
      <c r="K76" s="405">
        <f t="shared" si="13"/>
        <v>-2.4156961244289232E-2</v>
      </c>
      <c r="L76" s="405">
        <f t="shared" si="13"/>
        <v>6.3768326064488789E-2</v>
      </c>
      <c r="M76" s="405">
        <f t="shared" si="13"/>
        <v>4.0567863583979014E-2</v>
      </c>
      <c r="N76" s="405">
        <f t="shared" si="13"/>
        <v>-7.6631419967415959E-2</v>
      </c>
    </row>
    <row r="77" spans="1:15" x14ac:dyDescent="0.25">
      <c r="A77" s="332" t="s">
        <v>20</v>
      </c>
      <c r="B77" s="329"/>
      <c r="C77" s="148">
        <v>3</v>
      </c>
      <c r="D77" s="402"/>
      <c r="E77" s="403">
        <f t="shared" si="11"/>
        <v>100</v>
      </c>
      <c r="F77" s="404">
        <f t="shared" si="11"/>
        <v>101.63567003335514</v>
      </c>
      <c r="G77" s="404">
        <f t="shared" si="11"/>
        <v>101.79833620134049</v>
      </c>
      <c r="H77" s="404">
        <f t="shared" si="11"/>
        <v>115.82976370707554</v>
      </c>
      <c r="I77" s="404">
        <f t="shared" si="11"/>
        <v>128.06844459008832</v>
      </c>
      <c r="J77" s="405">
        <f t="shared" si="12"/>
        <v>1.1308676807638252E-2</v>
      </c>
      <c r="K77" s="405">
        <f t="shared" si="13"/>
        <v>1.8043336931130582E-3</v>
      </c>
      <c r="L77" s="405">
        <f t="shared" si="13"/>
        <v>3.1989188450110007E-4</v>
      </c>
      <c r="M77" s="405">
        <f t="shared" si="13"/>
        <v>2.6161928918402966E-2</v>
      </c>
      <c r="N77" s="405">
        <f t="shared" si="13"/>
        <v>3.4047895011337648E-2</v>
      </c>
    </row>
    <row r="78" spans="1:15" x14ac:dyDescent="0.25">
      <c r="A78" s="332" t="s">
        <v>22</v>
      </c>
      <c r="B78" s="329"/>
      <c r="C78" s="148">
        <v>4</v>
      </c>
      <c r="D78" s="402"/>
      <c r="E78" s="403">
        <f t="shared" si="11"/>
        <v>100</v>
      </c>
      <c r="F78" s="404">
        <f t="shared" si="11"/>
        <v>62.650529566170988</v>
      </c>
      <c r="G78" s="404">
        <f t="shared" si="11"/>
        <v>62.419794992643418</v>
      </c>
      <c r="H78" s="404">
        <f t="shared" si="11"/>
        <v>89.896849897753455</v>
      </c>
      <c r="I78" s="404">
        <f t="shared" si="11"/>
        <v>95.32605455089265</v>
      </c>
      <c r="J78" s="405">
        <f t="shared" si="12"/>
        <v>-2.1734082485252992E-3</v>
      </c>
      <c r="K78" s="405">
        <f t="shared" si="13"/>
        <v>-5.0628734329761893E-2</v>
      </c>
      <c r="L78" s="405">
        <f t="shared" si="13"/>
        <v>-7.3766410452735798E-4</v>
      </c>
      <c r="M78" s="405">
        <f t="shared" si="13"/>
        <v>7.5683302253521489E-2</v>
      </c>
      <c r="N78" s="405">
        <f t="shared" si="13"/>
        <v>1.9739044521343674E-2</v>
      </c>
    </row>
    <row r="79" spans="1:15" x14ac:dyDescent="0.25">
      <c r="A79" s="332" t="s">
        <v>150</v>
      </c>
      <c r="B79" s="329"/>
      <c r="C79" s="148">
        <v>5</v>
      </c>
      <c r="D79" s="402"/>
      <c r="E79" s="403">
        <f t="shared" si="11"/>
        <v>100</v>
      </c>
      <c r="F79" s="404">
        <f t="shared" si="11"/>
        <v>93.967090093713196</v>
      </c>
      <c r="G79" s="404">
        <f t="shared" si="11"/>
        <v>87.429265934944155</v>
      </c>
      <c r="H79" s="404">
        <f t="shared" si="11"/>
        <v>110.88531842784644</v>
      </c>
      <c r="I79" s="404">
        <f t="shared" si="11"/>
        <v>122.86145948830109</v>
      </c>
      <c r="J79" s="405">
        <f t="shared" si="12"/>
        <v>9.4024363563114388E-3</v>
      </c>
      <c r="K79" s="405">
        <f t="shared" si="13"/>
        <v>-6.8901058885051381E-3</v>
      </c>
      <c r="L79" s="405">
        <f t="shared" si="13"/>
        <v>-1.4319395803277346E-2</v>
      </c>
      <c r="M79" s="405">
        <f t="shared" si="13"/>
        <v>4.8681105426335414E-2</v>
      </c>
      <c r="N79" s="405">
        <f t="shared" si="13"/>
        <v>3.4778049036050307E-2</v>
      </c>
    </row>
    <row r="80" spans="1:15" x14ac:dyDescent="0.25">
      <c r="A80" s="332" t="s">
        <v>151</v>
      </c>
      <c r="B80" s="329"/>
      <c r="C80" s="148">
        <v>6</v>
      </c>
      <c r="D80" s="402"/>
      <c r="E80" s="403">
        <f t="shared" si="11"/>
        <v>100</v>
      </c>
      <c r="F80" s="404">
        <f t="shared" si="11"/>
        <v>117.17737251713322</v>
      </c>
      <c r="G80" s="404">
        <f t="shared" si="11"/>
        <v>141.51109781576147</v>
      </c>
      <c r="H80" s="404">
        <f t="shared" si="11"/>
        <v>142.17617222286754</v>
      </c>
      <c r="I80" s="404">
        <f t="shared" si="11"/>
        <v>142.52231094189634</v>
      </c>
      <c r="J80" s="405">
        <f t="shared" si="12"/>
        <v>1.6236233052475457E-2</v>
      </c>
      <c r="K80" s="405">
        <f t="shared" si="13"/>
        <v>1.7769205083715267E-2</v>
      </c>
      <c r="L80" s="405">
        <f t="shared" si="13"/>
        <v>3.8458986475329304E-2</v>
      </c>
      <c r="M80" s="405">
        <f t="shared" si="13"/>
        <v>9.3819869076883222E-4</v>
      </c>
      <c r="N80" s="405">
        <f t="shared" si="13"/>
        <v>8.1086770161742372E-4</v>
      </c>
    </row>
    <row r="81" spans="1:14" x14ac:dyDescent="0.25">
      <c r="A81" s="332" t="s">
        <v>152</v>
      </c>
      <c r="B81" s="329"/>
      <c r="C81" s="148">
        <v>7</v>
      </c>
      <c r="D81" s="402"/>
      <c r="E81" s="403">
        <f t="shared" si="11"/>
        <v>100</v>
      </c>
      <c r="F81" s="404">
        <f t="shared" si="11"/>
        <v>86.69007476339263</v>
      </c>
      <c r="G81" s="404">
        <f t="shared" si="11"/>
        <v>90.155856698191045</v>
      </c>
      <c r="H81" s="404">
        <f t="shared" si="11"/>
        <v>97.782715513000625</v>
      </c>
      <c r="I81" s="404">
        <f t="shared" si="11"/>
        <v>99.357672138987965</v>
      </c>
      <c r="J81" s="405">
        <f t="shared" si="12"/>
        <v>-2.9286604410305728E-4</v>
      </c>
      <c r="K81" s="405">
        <f t="shared" si="13"/>
        <v>-1.574482111013642E-2</v>
      </c>
      <c r="L81" s="405">
        <f t="shared" si="13"/>
        <v>7.8709169592514616E-3</v>
      </c>
      <c r="M81" s="405">
        <f t="shared" si="13"/>
        <v>1.6374194423502297E-2</v>
      </c>
      <c r="N81" s="405">
        <f t="shared" si="13"/>
        <v>5.3403293045535261E-3</v>
      </c>
    </row>
    <row r="82" spans="1:14" s="385" customFormat="1" x14ac:dyDescent="0.25">
      <c r="A82" s="339" t="s">
        <v>154</v>
      </c>
      <c r="B82" s="340"/>
      <c r="C82" s="341"/>
      <c r="D82" s="406"/>
      <c r="E82" s="407"/>
      <c r="F82" s="384"/>
      <c r="G82" s="384"/>
      <c r="H82" s="384"/>
      <c r="I82" s="384"/>
      <c r="J82" s="407"/>
      <c r="K82" s="408"/>
      <c r="L82" s="408"/>
      <c r="M82" s="408"/>
      <c r="N82" s="408"/>
    </row>
    <row r="83" spans="1:14" s="385" customFormat="1" x14ac:dyDescent="0.25">
      <c r="A83" s="345" t="s">
        <v>155</v>
      </c>
      <c r="B83" s="346"/>
      <c r="C83" s="347"/>
      <c r="D83" s="409"/>
      <c r="E83" s="410">
        <f>(E69/$E69)*100</f>
        <v>100</v>
      </c>
      <c r="F83" s="411">
        <f>(F69/$E69)*100</f>
        <v>90.28101020189554</v>
      </c>
      <c r="G83" s="411">
        <f>(G69/$E69)*100</f>
        <v>98.878520916460431</v>
      </c>
      <c r="H83" s="411">
        <f>(H69/$E69)*100</f>
        <v>113.37626684014843</v>
      </c>
      <c r="I83" s="411">
        <f>(I69/$E69)*100</f>
        <v>116.70909091370365</v>
      </c>
      <c r="J83" s="412">
        <f>EXP(LN(I69/E69)/J$71)-1</f>
        <v>7.0480967469757072E-3</v>
      </c>
      <c r="K83" s="412">
        <f>EXP(LN(F69/E69)/K$71)-1</f>
        <v>-1.1296053292504604E-2</v>
      </c>
      <c r="L83" s="412">
        <f>EXP(LN(G69/F69)/L$71)-1</f>
        <v>1.8359479155546143E-2</v>
      </c>
      <c r="M83" s="412">
        <f>EXP(LN(H69/G69)/M$71)-1</f>
        <v>2.7741842381551196E-2</v>
      </c>
      <c r="N83" s="412">
        <f>EXP(LN(I69/H69)/N$71)-1</f>
        <v>9.7042349492593161E-3</v>
      </c>
    </row>
    <row r="84" spans="1:14" x14ac:dyDescent="0.25">
      <c r="I84" s="298" t="s">
        <v>169</v>
      </c>
      <c r="J84" s="413">
        <f>+I69-J107</f>
        <v>3.637978807091713E-11</v>
      </c>
      <c r="K84" s="413">
        <f>+F69-K94</f>
        <v>0</v>
      </c>
      <c r="L84" s="413">
        <f>+G69-L99</f>
        <v>0</v>
      </c>
      <c r="M84" s="413">
        <f>+H69-M104</f>
        <v>0</v>
      </c>
      <c r="N84" s="413">
        <f>+I69-N107</f>
        <v>0</v>
      </c>
    </row>
    <row r="85" spans="1:14" hidden="1" x14ac:dyDescent="0.25">
      <c r="I85" s="296">
        <v>1991</v>
      </c>
      <c r="J85" s="296"/>
      <c r="K85" s="296"/>
      <c r="L85" s="297"/>
      <c r="M85" s="296"/>
      <c r="N85" s="296"/>
    </row>
    <row r="86" spans="1:14" hidden="1" x14ac:dyDescent="0.25">
      <c r="I86" s="296">
        <f>+I85+1</f>
        <v>1992</v>
      </c>
      <c r="J86" s="414">
        <f>+E69*(1+J83)</f>
        <v>17118.003534009811</v>
      </c>
      <c r="K86" s="414">
        <f>+E69*(1+K83)</f>
        <v>16806.186028750053</v>
      </c>
      <c r="L86" s="297"/>
      <c r="M86" s="296"/>
      <c r="N86" s="296"/>
    </row>
    <row r="87" spans="1:14" hidden="1" x14ac:dyDescent="0.25">
      <c r="I87" s="296">
        <f t="shared" ref="I87:I107" si="14">+I86+1</f>
        <v>1993</v>
      </c>
      <c r="J87" s="414">
        <f>+J86*(1+$J$83)</f>
        <v>17238.652879032583</v>
      </c>
      <c r="K87" s="414">
        <f>+K86*(1+$K$83)</f>
        <v>16616.342455725546</v>
      </c>
      <c r="L87" s="297"/>
      <c r="M87" s="296"/>
      <c r="N87" s="296"/>
    </row>
    <row r="88" spans="1:14" hidden="1" x14ac:dyDescent="0.25">
      <c r="I88" s="296">
        <f t="shared" si="14"/>
        <v>1994</v>
      </c>
      <c r="J88" s="414">
        <f t="shared" ref="J88:J107" si="15">+J87*(1+$J$83)</f>
        <v>17360.152572311537</v>
      </c>
      <c r="K88" s="414">
        <f t="shared" ref="K88:K94" si="16">+K87*(1+$K$83)</f>
        <v>16428.643365819164</v>
      </c>
      <c r="L88" s="297"/>
      <c r="M88" s="296"/>
      <c r="N88" s="296"/>
    </row>
    <row r="89" spans="1:14" hidden="1" x14ac:dyDescent="0.25">
      <c r="I89" s="296">
        <f t="shared" si="14"/>
        <v>1995</v>
      </c>
      <c r="J89" s="414">
        <f t="shared" si="15"/>
        <v>17482.508607183448</v>
      </c>
      <c r="K89" s="414">
        <f t="shared" si="16"/>
        <v>16243.064534835317</v>
      </c>
      <c r="L89" s="297"/>
      <c r="M89" s="296"/>
      <c r="N89" s="296"/>
    </row>
    <row r="90" spans="1:14" hidden="1" x14ac:dyDescent="0.25">
      <c r="I90" s="296">
        <f t="shared" si="14"/>
        <v>1996</v>
      </c>
      <c r="J90" s="414">
        <f t="shared" si="15"/>
        <v>17605.727019226713</v>
      </c>
      <c r="K90" s="414">
        <f t="shared" si="16"/>
        <v>16059.582012216226</v>
      </c>
      <c r="L90" s="297"/>
      <c r="M90" s="296"/>
      <c r="N90" s="296"/>
    </row>
    <row r="91" spans="1:14" hidden="1" x14ac:dyDescent="0.25">
      <c r="I91" s="296">
        <f t="shared" si="14"/>
        <v>1997</v>
      </c>
      <c r="J91" s="414">
        <f t="shared" si="15"/>
        <v>17729.813886559066</v>
      </c>
      <c r="K91" s="414">
        <f t="shared" si="16"/>
        <v>15878.172117950882</v>
      </c>
      <c r="L91" s="297"/>
      <c r="M91" s="296"/>
      <c r="N91" s="296"/>
    </row>
    <row r="92" spans="1:14" hidden="1" x14ac:dyDescent="0.25">
      <c r="I92" s="296">
        <f t="shared" si="14"/>
        <v>1998</v>
      </c>
      <c r="J92" s="414">
        <f t="shared" si="15"/>
        <v>17854.775330137407</v>
      </c>
      <c r="K92" s="414">
        <f t="shared" si="16"/>
        <v>15698.811439518948</v>
      </c>
      <c r="L92" s="297"/>
      <c r="M92" s="296"/>
      <c r="N92" s="296"/>
    </row>
    <row r="93" spans="1:14" hidden="1" x14ac:dyDescent="0.25">
      <c r="I93" s="296">
        <f t="shared" si="14"/>
        <v>1999</v>
      </c>
      <c r="J93" s="414">
        <f t="shared" si="15"/>
        <v>17980.61751405973</v>
      </c>
      <c r="K93" s="414">
        <f t="shared" si="16"/>
        <v>15521.476828869161</v>
      </c>
      <c r="L93" s="297"/>
      <c r="M93" s="296"/>
      <c r="N93" s="296"/>
    </row>
    <row r="94" spans="1:14" hidden="1" x14ac:dyDescent="0.25">
      <c r="I94" s="296">
        <f t="shared" si="14"/>
        <v>2000</v>
      </c>
      <c r="J94" s="414">
        <f t="shared" si="15"/>
        <v>18107.346645869187</v>
      </c>
      <c r="K94" s="414">
        <f t="shared" si="16"/>
        <v>15346.14539943188</v>
      </c>
      <c r="L94" s="413"/>
      <c r="M94" s="296"/>
      <c r="N94" s="296"/>
    </row>
    <row r="95" spans="1:14" hidden="1" x14ac:dyDescent="0.25">
      <c r="I95" s="296">
        <f t="shared" si="14"/>
        <v>2001</v>
      </c>
      <c r="J95" s="414">
        <f t="shared" si="15"/>
        <v>18234.968976860298</v>
      </c>
      <c r="K95" s="296"/>
      <c r="L95" s="414">
        <f>+F69*(1+L83)</f>
        <v>15627.892636010734</v>
      </c>
      <c r="M95" s="296"/>
      <c r="N95" s="296"/>
    </row>
    <row r="96" spans="1:14" hidden="1" x14ac:dyDescent="0.25">
      <c r="I96" s="296">
        <f t="shared" si="14"/>
        <v>2002</v>
      </c>
      <c r="J96" s="414">
        <f t="shared" si="15"/>
        <v>18363.49080238731</v>
      </c>
      <c r="K96" s="296"/>
      <c r="L96" s="414">
        <f>+L95*(1+$L$83)</f>
        <v>15914.812605106687</v>
      </c>
      <c r="M96" s="296"/>
      <c r="N96" s="296"/>
    </row>
    <row r="97" spans="9:14" hidden="1" x14ac:dyDescent="0.25">
      <c r="I97" s="296">
        <f t="shared" si="14"/>
        <v>2003</v>
      </c>
      <c r="J97" s="414">
        <f t="shared" si="15"/>
        <v>18492.918462174734</v>
      </c>
      <c r="K97" s="296"/>
      <c r="L97" s="414">
        <f>+L96*(1+$L$83)</f>
        <v>16207.000275394566</v>
      </c>
      <c r="M97" s="296"/>
      <c r="N97" s="296"/>
    </row>
    <row r="98" spans="9:14" hidden="1" x14ac:dyDescent="0.25">
      <c r="I98" s="296">
        <f t="shared" si="14"/>
        <v>2004</v>
      </c>
      <c r="J98" s="414">
        <f t="shared" si="15"/>
        <v>18623.258340630073</v>
      </c>
      <c r="K98" s="296"/>
      <c r="L98" s="414">
        <f>+L97*(1+$L$83)</f>
        <v>16504.552359124602</v>
      </c>
      <c r="M98" s="296"/>
      <c r="N98" s="296"/>
    </row>
    <row r="99" spans="9:14" hidden="1" x14ac:dyDescent="0.25">
      <c r="I99" s="296">
        <f t="shared" si="14"/>
        <v>2005</v>
      </c>
      <c r="J99" s="414">
        <f t="shared" si="15"/>
        <v>18754.516867158756</v>
      </c>
      <c r="K99" s="296"/>
      <c r="L99" s="414">
        <f>+L98*(1+$L$83)</f>
        <v>16807.567344133571</v>
      </c>
      <c r="M99" s="413"/>
      <c r="N99" s="296"/>
    </row>
    <row r="100" spans="9:14" hidden="1" x14ac:dyDescent="0.25">
      <c r="I100" s="296">
        <f t="shared" si="14"/>
        <v>2006</v>
      </c>
      <c r="J100" s="414">
        <f t="shared" si="15"/>
        <v>18886.70051648128</v>
      </c>
      <c r="K100" s="296"/>
      <c r="L100" s="297"/>
      <c r="M100" s="414">
        <f>+G69*(1+M83)</f>
        <v>17273.840228211826</v>
      </c>
      <c r="N100" s="414"/>
    </row>
    <row r="101" spans="9:14" hidden="1" x14ac:dyDescent="0.25">
      <c r="I101" s="296">
        <f t="shared" si="14"/>
        <v>2007</v>
      </c>
      <c r="J101" s="414">
        <f t="shared" si="15"/>
        <v>19019.815808952597</v>
      </c>
      <c r="K101" s="296"/>
      <c r="L101" s="297"/>
      <c r="M101" s="414">
        <f>+M100*(1+$M$83)</f>
        <v>17753.048381146978</v>
      </c>
      <c r="N101" s="414"/>
    </row>
    <row r="102" spans="9:14" hidden="1" x14ac:dyDescent="0.25">
      <c r="I102" s="296">
        <f t="shared" si="14"/>
        <v>2008</v>
      </c>
      <c r="J102" s="414">
        <f t="shared" si="15"/>
        <v>19153.869310883754</v>
      </c>
      <c r="K102" s="296"/>
      <c r="L102" s="297"/>
      <c r="M102" s="414">
        <f>+M101*(1+$M$83)</f>
        <v>18245.550651128811</v>
      </c>
      <c r="N102" s="414"/>
    </row>
    <row r="103" spans="9:14" hidden="1" x14ac:dyDescent="0.25">
      <c r="I103" s="296">
        <f t="shared" si="14"/>
        <v>2009</v>
      </c>
      <c r="J103" s="414">
        <f t="shared" si="15"/>
        <v>19288.86763486579</v>
      </c>
      <c r="K103" s="296"/>
      <c r="L103" s="297"/>
      <c r="M103" s="414">
        <f>+M102*(1+$M$83)</f>
        <v>18751.715841457037</v>
      </c>
      <c r="N103" s="414"/>
    </row>
    <row r="104" spans="9:14" hidden="1" x14ac:dyDescent="0.25">
      <c r="I104" s="296">
        <f t="shared" si="14"/>
        <v>2010</v>
      </c>
      <c r="J104" s="414">
        <f t="shared" si="15"/>
        <v>19424.817440095932</v>
      </c>
      <c r="K104" s="296"/>
      <c r="L104" s="297"/>
      <c r="M104" s="414">
        <f>+M103*(1+$M$83)</f>
        <v>19271.922986714373</v>
      </c>
      <c r="N104" s="414"/>
    </row>
    <row r="105" spans="9:14" hidden="1" x14ac:dyDescent="0.25">
      <c r="I105" s="296">
        <f t="shared" si="14"/>
        <v>2011</v>
      </c>
      <c r="J105" s="414">
        <f t="shared" si="15"/>
        <v>19561.725432706069</v>
      </c>
      <c r="K105" s="296"/>
      <c r="L105" s="297"/>
      <c r="M105" s="414"/>
      <c r="N105" s="414">
        <f>+H69*(1+N83)</f>
        <v>19458.942255301481</v>
      </c>
    </row>
    <row r="106" spans="9:14" hidden="1" x14ac:dyDescent="0.25">
      <c r="I106" s="296">
        <f t="shared" si="14"/>
        <v>2012</v>
      </c>
      <c r="J106" s="414">
        <f t="shared" si="15"/>
        <v>19699.598366093556</v>
      </c>
      <c r="K106" s="296"/>
      <c r="L106" s="297"/>
      <c r="M106" s="414"/>
      <c r="N106" s="414">
        <f>+N105*(1+$N$83)</f>
        <v>19647.776402810996</v>
      </c>
    </row>
    <row r="107" spans="9:14" hidden="1" x14ac:dyDescent="0.25">
      <c r="I107" s="296">
        <f t="shared" si="14"/>
        <v>2013</v>
      </c>
      <c r="J107" s="414">
        <f t="shared" si="15"/>
        <v>19838.443041254348</v>
      </c>
      <c r="K107" s="413"/>
      <c r="L107" s="297"/>
      <c r="M107" s="414"/>
      <c r="N107" s="414">
        <f>+N106*(1+$N$83)</f>
        <v>19838.443041254388</v>
      </c>
    </row>
  </sheetData>
  <mergeCells count="82">
    <mergeCell ref="A82:B82"/>
    <mergeCell ref="A83:B83"/>
    <mergeCell ref="A76:B76"/>
    <mergeCell ref="A77:B77"/>
    <mergeCell ref="A78:B78"/>
    <mergeCell ref="A79:B79"/>
    <mergeCell ref="A80:B80"/>
    <mergeCell ref="A81:B81"/>
    <mergeCell ref="J72:N72"/>
    <mergeCell ref="A73:B73"/>
    <mergeCell ref="D73:I73"/>
    <mergeCell ref="J73:N73"/>
    <mergeCell ref="A74:B74"/>
    <mergeCell ref="A75:B75"/>
    <mergeCell ref="A66:B66"/>
    <mergeCell ref="A67:B67"/>
    <mergeCell ref="A68:B68"/>
    <mergeCell ref="A69:B69"/>
    <mergeCell ref="A72:B72"/>
    <mergeCell ref="D72:I72"/>
    <mergeCell ref="A60:B60"/>
    <mergeCell ref="A61:B61"/>
    <mergeCell ref="A62:B62"/>
    <mergeCell ref="A63:B63"/>
    <mergeCell ref="A64:B64"/>
    <mergeCell ref="A65:B65"/>
    <mergeCell ref="A55:B55"/>
    <mergeCell ref="A56:B56"/>
    <mergeCell ref="A58:B58"/>
    <mergeCell ref="D58:I58"/>
    <mergeCell ref="J58:O58"/>
    <mergeCell ref="A59:B59"/>
    <mergeCell ref="D59:I59"/>
    <mergeCell ref="J59:O59"/>
    <mergeCell ref="A49:B49"/>
    <mergeCell ref="A50:B50"/>
    <mergeCell ref="A51:B51"/>
    <mergeCell ref="A52:B52"/>
    <mergeCell ref="A53:B53"/>
    <mergeCell ref="A54:B54"/>
    <mergeCell ref="J45:O45"/>
    <mergeCell ref="A46:B46"/>
    <mergeCell ref="D46:I46"/>
    <mergeCell ref="J46:O46"/>
    <mergeCell ref="A47:B47"/>
    <mergeCell ref="A48:B48"/>
    <mergeCell ref="A40:B40"/>
    <mergeCell ref="A41:B41"/>
    <mergeCell ref="A42:B42"/>
    <mergeCell ref="A43:B43"/>
    <mergeCell ref="A45:B45"/>
    <mergeCell ref="D45:I45"/>
    <mergeCell ref="A34:B34"/>
    <mergeCell ref="A35:B35"/>
    <mergeCell ref="A36:B36"/>
    <mergeCell ref="A37:B37"/>
    <mergeCell ref="A38:B38"/>
    <mergeCell ref="A39:B39"/>
    <mergeCell ref="D31:I31"/>
    <mergeCell ref="J31:O31"/>
    <mergeCell ref="A32:B32"/>
    <mergeCell ref="D32:I32"/>
    <mergeCell ref="J32:O32"/>
    <mergeCell ref="A33:B33"/>
    <mergeCell ref="A25:B25"/>
    <mergeCell ref="A26:B26"/>
    <mergeCell ref="A27:B27"/>
    <mergeCell ref="A28:B28"/>
    <mergeCell ref="A29:B29"/>
    <mergeCell ref="A31:B31"/>
    <mergeCell ref="A19:B19"/>
    <mergeCell ref="A20:B20"/>
    <mergeCell ref="A21:B21"/>
    <mergeCell ref="A22:B22"/>
    <mergeCell ref="A23:B23"/>
    <mergeCell ref="A24:B24"/>
    <mergeCell ref="A17:B17"/>
    <mergeCell ref="D17:I17"/>
    <mergeCell ref="J17:O17"/>
    <mergeCell ref="A18:B18"/>
    <mergeCell ref="D18:I18"/>
    <mergeCell ref="J18:O18"/>
  </mergeCells>
  <hyperlinks>
    <hyperlink ref="D18" r:id="rId1"/>
    <hyperlink ref="D32" r:id="rId2"/>
    <hyperlink ref="D46:I46" r:id="rId3" display="http://www.ilo.org/global/research/global-reports/weso/2015/lang--en/index.ht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6"/>
  <sheetViews>
    <sheetView showGridLines="0" workbookViewId="0">
      <selection activeCell="F34" sqref="F34"/>
    </sheetView>
  </sheetViews>
  <sheetFormatPr defaultRowHeight="12" x14ac:dyDescent="0.25"/>
  <cols>
    <col min="1" max="1" width="42.28515625" customWidth="1"/>
    <col min="4" max="5" width="11.140625" bestFit="1" customWidth="1"/>
  </cols>
  <sheetData>
    <row r="1" spans="1:16" ht="14.4" x14ac:dyDescent="0.25">
      <c r="A1" s="79" t="s">
        <v>39</v>
      </c>
      <c r="B1" s="46"/>
      <c r="C1" s="46"/>
      <c r="D1" s="46"/>
      <c r="E1" s="46"/>
      <c r="F1" s="46"/>
      <c r="G1" s="46"/>
      <c r="H1" s="4"/>
      <c r="I1" s="4"/>
      <c r="J1" s="4"/>
      <c r="K1" s="6"/>
      <c r="L1" s="4"/>
      <c r="M1" s="4"/>
      <c r="N1" s="4"/>
      <c r="O1" s="4"/>
      <c r="P1" s="4"/>
    </row>
    <row r="2" spans="1:16" x14ac:dyDescent="0.25">
      <c r="A2" s="284" t="s">
        <v>185</v>
      </c>
      <c r="B2" s="46"/>
      <c r="C2" s="46"/>
      <c r="D2" s="46"/>
      <c r="E2" s="46"/>
      <c r="F2" s="46"/>
      <c r="G2" s="46"/>
      <c r="H2" s="4"/>
      <c r="I2" s="4"/>
      <c r="J2" s="4"/>
      <c r="K2" s="6"/>
      <c r="L2" s="4"/>
      <c r="M2" s="4"/>
      <c r="N2" s="4"/>
      <c r="O2" s="4"/>
      <c r="P2" s="4"/>
    </row>
    <row r="3" spans="1:16" x14ac:dyDescent="0.25">
      <c r="A3" s="415"/>
      <c r="B3" s="46"/>
      <c r="C3" s="46"/>
      <c r="D3" s="46"/>
      <c r="E3" s="46"/>
      <c r="F3" s="46"/>
      <c r="G3" s="46"/>
      <c r="H3" s="4"/>
      <c r="I3" s="4"/>
      <c r="J3" s="4"/>
      <c r="K3" s="6"/>
      <c r="L3" s="4"/>
      <c r="M3" s="4"/>
      <c r="N3" s="4"/>
      <c r="O3" s="4"/>
      <c r="P3" s="4"/>
    </row>
    <row r="4" spans="1:16" x14ac:dyDescent="0.25">
      <c r="A4" s="416" t="s">
        <v>170</v>
      </c>
      <c r="B4" s="4"/>
      <c r="C4" s="4"/>
      <c r="D4" s="4"/>
      <c r="E4" s="4"/>
      <c r="F4" s="4"/>
      <c r="G4" s="4"/>
      <c r="H4" s="4"/>
      <c r="I4" s="4"/>
      <c r="J4" s="4"/>
      <c r="K4" s="6"/>
      <c r="L4" s="4"/>
      <c r="M4" s="4"/>
      <c r="N4" s="4"/>
      <c r="O4" s="4"/>
      <c r="P4" s="4"/>
    </row>
    <row r="5" spans="1:16" ht="30.6" x14ac:dyDescent="0.25">
      <c r="A5" s="417" t="s">
        <v>167</v>
      </c>
      <c r="B5" s="47" t="s">
        <v>171</v>
      </c>
      <c r="C5" s="233" t="s">
        <v>10</v>
      </c>
      <c r="D5" s="271" t="s">
        <v>172</v>
      </c>
      <c r="E5" s="272"/>
      <c r="F5" s="271" t="s">
        <v>173</v>
      </c>
      <c r="G5" s="272"/>
      <c r="H5" s="49"/>
      <c r="I5" s="49"/>
      <c r="J5" s="49"/>
      <c r="K5" s="50"/>
      <c r="L5" s="49"/>
      <c r="M5" s="49"/>
      <c r="N5" s="49"/>
      <c r="O5" s="49"/>
      <c r="P5" s="49"/>
    </row>
    <row r="6" spans="1:16" ht="24" x14ac:dyDescent="0.25">
      <c r="A6" s="418"/>
      <c r="B6" s="88" t="s">
        <v>167</v>
      </c>
      <c r="C6" s="52" t="s">
        <v>45</v>
      </c>
      <c r="D6" s="53" t="s">
        <v>174</v>
      </c>
      <c r="E6" s="53" t="s">
        <v>45</v>
      </c>
      <c r="F6" s="53" t="s">
        <v>174</v>
      </c>
      <c r="G6" s="53" t="s">
        <v>45</v>
      </c>
      <c r="H6" s="54"/>
      <c r="I6" s="54"/>
      <c r="J6" s="54"/>
      <c r="K6" s="55"/>
      <c r="L6" s="54"/>
      <c r="M6" s="54"/>
      <c r="N6" s="54"/>
      <c r="O6" s="54"/>
      <c r="P6" s="54"/>
    </row>
    <row r="7" spans="1:16" x14ac:dyDescent="0.25">
      <c r="A7" s="419" t="s">
        <v>14</v>
      </c>
      <c r="B7" s="420">
        <f t="shared" ref="B7:B14" si="0">+G7-F7</f>
        <v>-1.2609080110592927</v>
      </c>
      <c r="C7" s="421">
        <f>+'GVA-productivity2'!L61</f>
        <v>0.22087185058612946</v>
      </c>
      <c r="D7" s="422">
        <f>+'GVA-productivity2'!E48</f>
        <v>1390</v>
      </c>
      <c r="E7" s="422">
        <f>+'GVA-productivity2'!F48</f>
        <v>1689</v>
      </c>
      <c r="F7" s="421">
        <f>+'GVA-productivity2'!K48</f>
        <v>14.762107051826678</v>
      </c>
      <c r="G7" s="421">
        <f>+'GVA-productivity2'!L48</f>
        <v>13.501199040767386</v>
      </c>
      <c r="H7" s="4"/>
      <c r="I7" s="4"/>
      <c r="J7" s="4"/>
      <c r="K7" s="6"/>
      <c r="L7" s="4"/>
      <c r="M7" s="4"/>
      <c r="N7" s="4"/>
      <c r="O7" s="4"/>
      <c r="P7" s="4"/>
    </row>
    <row r="8" spans="1:16" x14ac:dyDescent="0.25">
      <c r="A8" s="419" t="s">
        <v>175</v>
      </c>
      <c r="B8" s="420">
        <f t="shared" si="0"/>
        <v>-0.40991675648436221</v>
      </c>
      <c r="C8" s="421">
        <f>+'GVA-productivity2'!L62</f>
        <v>2.1373734232063324</v>
      </c>
      <c r="D8" s="422">
        <f>+'GVA-productivity2'!E49</f>
        <v>503</v>
      </c>
      <c r="E8" s="422">
        <f>+'GVA-productivity2'!F49</f>
        <v>617</v>
      </c>
      <c r="F8" s="421">
        <f>+'GVA-productivity2'!K49</f>
        <v>5.3419711129991505</v>
      </c>
      <c r="G8" s="421">
        <f>+'GVA-productivity2'!L49</f>
        <v>4.9320543565147883</v>
      </c>
      <c r="H8" s="4"/>
      <c r="I8" s="4"/>
      <c r="J8" s="4"/>
      <c r="K8" s="6"/>
      <c r="L8" s="4"/>
      <c r="M8" s="4"/>
      <c r="N8" s="4"/>
      <c r="O8" s="4"/>
      <c r="P8" s="4"/>
    </row>
    <row r="9" spans="1:16" x14ac:dyDescent="0.25">
      <c r="A9" s="419" t="s">
        <v>20</v>
      </c>
      <c r="B9" s="420">
        <f t="shared" si="0"/>
        <v>-1.481616745685864</v>
      </c>
      <c r="C9" s="421">
        <f>+'GVA-productivity2'!L63</f>
        <v>1.6799565714502245</v>
      </c>
      <c r="D9" s="422">
        <f>+'GVA-productivity2'!E50</f>
        <v>1191</v>
      </c>
      <c r="E9" s="422">
        <f>+'GVA-productivity2'!F50</f>
        <v>1397</v>
      </c>
      <c r="F9" s="421">
        <f>+'GVA-productivity2'!K50</f>
        <v>12.648683092608326</v>
      </c>
      <c r="G9" s="421">
        <f>+'GVA-productivity2'!L50</f>
        <v>11.167066346922462</v>
      </c>
      <c r="H9" s="4"/>
      <c r="I9" s="4"/>
      <c r="J9" s="4"/>
      <c r="K9" s="6"/>
      <c r="L9" s="4"/>
      <c r="M9" s="4"/>
      <c r="N9" s="4"/>
      <c r="O9" s="4"/>
      <c r="P9" s="4"/>
    </row>
    <row r="10" spans="1:16" x14ac:dyDescent="0.25">
      <c r="A10" s="419" t="s">
        <v>22</v>
      </c>
      <c r="B10" s="420">
        <f t="shared" si="0"/>
        <v>0.65975766540548442</v>
      </c>
      <c r="C10" s="421">
        <f>+'GVA-productivity2'!L64</f>
        <v>0.49244975698001003</v>
      </c>
      <c r="D10" s="422">
        <f>+'GVA-productivity2'!E51</f>
        <v>394</v>
      </c>
      <c r="E10" s="422">
        <f>+'GVA-productivity2'!F51</f>
        <v>606</v>
      </c>
      <c r="F10" s="421">
        <f>+'GVA-productivity2'!K51</f>
        <v>4.1843670348343238</v>
      </c>
      <c r="G10" s="421">
        <f>+'GVA-productivity2'!L51</f>
        <v>4.8441247002398082</v>
      </c>
      <c r="H10" s="4"/>
      <c r="I10" s="4"/>
      <c r="J10" s="4"/>
      <c r="K10" s="6"/>
      <c r="L10" s="4"/>
      <c r="M10" s="4"/>
      <c r="N10" s="4"/>
      <c r="O10" s="4"/>
      <c r="P10" s="4"/>
    </row>
    <row r="11" spans="1:16" x14ac:dyDescent="0.25">
      <c r="A11" s="419" t="s">
        <v>150</v>
      </c>
      <c r="B11" s="420">
        <f t="shared" si="0"/>
        <v>0.88178225473996719</v>
      </c>
      <c r="C11" s="421">
        <f>+'GVA-productivity2'!L65</f>
        <v>0.72434174806738783</v>
      </c>
      <c r="D11" s="422">
        <f>+'GVA-productivity2'!E52</f>
        <v>1752</v>
      </c>
      <c r="E11" s="422">
        <f>+'GVA-productivity2'!F52</f>
        <v>2438</v>
      </c>
      <c r="F11" s="421">
        <f>+'GVA-productivity2'!K52</f>
        <v>18.606627017841969</v>
      </c>
      <c r="G11" s="421">
        <f>+'GVA-productivity2'!L52</f>
        <v>19.488409272581936</v>
      </c>
      <c r="H11" s="4"/>
      <c r="I11" s="4"/>
      <c r="J11" s="4"/>
      <c r="K11" s="6"/>
      <c r="L11" s="4"/>
      <c r="M11" s="4"/>
      <c r="N11" s="4"/>
      <c r="O11" s="4"/>
      <c r="P11" s="4"/>
    </row>
    <row r="12" spans="1:16" x14ac:dyDescent="0.25">
      <c r="A12" s="423" t="s">
        <v>151</v>
      </c>
      <c r="B12" s="420">
        <f t="shared" si="0"/>
        <v>0.248433368852921</v>
      </c>
      <c r="C12" s="421">
        <f>+'GVA-productivity2'!L66</f>
        <v>2.3181287205726</v>
      </c>
      <c r="D12" s="422">
        <f>+'GVA-productivity2'!E53</f>
        <v>368</v>
      </c>
      <c r="E12" s="422">
        <f>+'GVA-productivity2'!F53</f>
        <v>520</v>
      </c>
      <c r="F12" s="421">
        <f>+'GVA-productivity2'!K53</f>
        <v>3.9082412914188618</v>
      </c>
      <c r="G12" s="421">
        <f>+'GVA-productivity2'!L53</f>
        <v>4.1566746602717828</v>
      </c>
      <c r="H12" s="4"/>
      <c r="I12" s="4"/>
      <c r="J12" s="4"/>
      <c r="K12" s="6"/>
      <c r="L12" s="4"/>
      <c r="M12" s="4"/>
      <c r="N12" s="4"/>
      <c r="O12" s="4"/>
      <c r="P12" s="4"/>
    </row>
    <row r="13" spans="1:16" x14ac:dyDescent="0.25">
      <c r="A13" s="419" t="s">
        <v>152</v>
      </c>
      <c r="B13" s="420">
        <f t="shared" si="0"/>
        <v>1.3624682242311508</v>
      </c>
      <c r="C13" s="421">
        <f>+'GVA-productivity2'!L67</f>
        <v>0.99208316664311036</v>
      </c>
      <c r="D13" s="422">
        <f>+'GVA-productivity2'!E54</f>
        <v>3818</v>
      </c>
      <c r="E13" s="422">
        <f>+'GVA-productivity2'!F54</f>
        <v>5243</v>
      </c>
      <c r="F13" s="421">
        <f>+'GVA-productivity2'!K54</f>
        <v>40.548003398470691</v>
      </c>
      <c r="G13" s="421">
        <f>+'GVA-productivity2'!L54</f>
        <v>41.910471622701841</v>
      </c>
      <c r="H13" s="4"/>
      <c r="I13" s="4"/>
      <c r="J13" s="4"/>
      <c r="K13" s="6"/>
      <c r="L13" s="4"/>
      <c r="M13" s="4"/>
      <c r="N13" s="4"/>
      <c r="O13" s="4"/>
      <c r="P13" s="4"/>
    </row>
    <row r="14" spans="1:16" x14ac:dyDescent="0.25">
      <c r="A14" s="85" t="s">
        <v>176</v>
      </c>
      <c r="B14" s="424">
        <f t="shared" si="0"/>
        <v>0</v>
      </c>
      <c r="C14" s="425">
        <f>+'GVA-productivity2'!L69</f>
        <v>1</v>
      </c>
      <c r="D14" s="426">
        <f>+'GVA-productivity2'!E56</f>
        <v>9416</v>
      </c>
      <c r="E14" s="426">
        <f>+'GVA-productivity2'!F56</f>
        <v>12510</v>
      </c>
      <c r="F14" s="425">
        <f>+'GVA-productivity2'!K56</f>
        <v>100</v>
      </c>
      <c r="G14" s="425">
        <f>+'GVA-productivity2'!L56</f>
        <v>100</v>
      </c>
      <c r="H14" s="9"/>
      <c r="I14" s="9"/>
      <c r="J14" s="9"/>
      <c r="K14" s="10"/>
      <c r="L14" s="9"/>
      <c r="M14" s="9"/>
      <c r="N14" s="9"/>
      <c r="O14" s="9"/>
      <c r="P14" s="9"/>
    </row>
    <row r="15" spans="1:16" x14ac:dyDescent="0.25">
      <c r="A15" s="59" t="s">
        <v>49</v>
      </c>
      <c r="B15" s="427"/>
      <c r="C15" s="427"/>
      <c r="D15" s="428">
        <f>SUM(D7:D13)</f>
        <v>9416</v>
      </c>
      <c r="E15" s="428">
        <f>SUM(E7:E13)</f>
        <v>12510</v>
      </c>
      <c r="F15" s="429">
        <f>SUM(F7:F13)</f>
        <v>100</v>
      </c>
      <c r="G15" s="429">
        <f>SUM(G7:G13)</f>
        <v>100</v>
      </c>
      <c r="H15" s="36"/>
      <c r="I15" s="36"/>
      <c r="J15" s="36"/>
      <c r="K15" s="42"/>
      <c r="L15" s="36"/>
      <c r="M15" s="36"/>
      <c r="N15" s="36"/>
      <c r="O15" s="36"/>
      <c r="P15" s="36"/>
    </row>
    <row r="16" spans="1:16" x14ac:dyDescent="0.25">
      <c r="A16" s="59"/>
      <c r="B16" s="61"/>
      <c r="C16" s="61"/>
      <c r="D16" s="62"/>
      <c r="E16" s="62"/>
      <c r="F16" s="63"/>
      <c r="G16" s="63"/>
      <c r="H16" s="36"/>
      <c r="I16" s="36"/>
      <c r="J16" s="36"/>
      <c r="K16" s="42"/>
      <c r="L16" s="36"/>
      <c r="M16" s="36"/>
      <c r="N16" s="36"/>
      <c r="O16" s="36"/>
      <c r="P16" s="36"/>
    </row>
    <row r="17" spans="1:16" x14ac:dyDescent="0.25">
      <c r="A17" s="59"/>
      <c r="B17" s="61"/>
      <c r="C17" s="61"/>
      <c r="D17" s="62"/>
      <c r="E17" s="62"/>
      <c r="F17" s="63"/>
      <c r="G17" s="63"/>
      <c r="H17" s="36"/>
      <c r="I17" s="36"/>
      <c r="J17" s="36"/>
      <c r="K17" s="42"/>
      <c r="L17" s="36"/>
      <c r="M17" s="36"/>
      <c r="N17" s="36"/>
      <c r="O17" s="36"/>
      <c r="P17" s="36"/>
    </row>
    <row r="18" spans="1:16" x14ac:dyDescent="0.25">
      <c r="A18" s="59"/>
      <c r="B18" s="61"/>
      <c r="C18" s="61"/>
      <c r="D18" s="62"/>
      <c r="E18" s="62"/>
      <c r="F18" s="63"/>
      <c r="G18" s="63"/>
      <c r="H18" s="36"/>
      <c r="I18" s="36"/>
      <c r="J18" s="36"/>
      <c r="K18" s="42"/>
      <c r="L18" s="36"/>
      <c r="M18" s="36"/>
      <c r="N18" s="36"/>
      <c r="O18" s="36"/>
      <c r="P18" s="36"/>
    </row>
    <row r="19" spans="1:16" x14ac:dyDescent="0.25">
      <c r="A19" s="59"/>
      <c r="B19" s="61"/>
      <c r="C19" s="61"/>
      <c r="D19" s="62"/>
      <c r="E19" s="62"/>
      <c r="F19" s="63"/>
      <c r="G19" s="63"/>
      <c r="H19" s="36"/>
      <c r="I19" s="36"/>
      <c r="J19" s="36"/>
      <c r="K19" s="42"/>
      <c r="L19" s="36"/>
      <c r="M19" s="36"/>
      <c r="N19" s="36"/>
      <c r="O19" s="36"/>
      <c r="P19" s="36"/>
    </row>
    <row r="20" spans="1:16" x14ac:dyDescent="0.25">
      <c r="A20" s="59"/>
      <c r="B20" s="61"/>
      <c r="C20" s="61"/>
      <c r="D20" s="62"/>
      <c r="E20" s="62"/>
      <c r="F20" s="63"/>
      <c r="G20" s="63"/>
      <c r="H20" s="36"/>
      <c r="I20" s="36"/>
      <c r="J20" s="36"/>
      <c r="K20" s="42"/>
      <c r="L20" s="36"/>
      <c r="M20" s="36"/>
      <c r="N20" s="36"/>
      <c r="O20" s="36"/>
      <c r="P20" s="36"/>
    </row>
    <row r="21" spans="1:16" x14ac:dyDescent="0.25">
      <c r="A21" s="4"/>
      <c r="B21" s="71"/>
      <c r="C21" s="4"/>
      <c r="D21" s="74"/>
      <c r="E21" s="4"/>
      <c r="F21" s="4"/>
      <c r="G21" s="4"/>
      <c r="H21" s="4"/>
      <c r="I21" s="4"/>
      <c r="J21" s="4"/>
      <c r="K21" s="6"/>
      <c r="L21" s="4"/>
      <c r="M21" s="4"/>
      <c r="N21" s="4"/>
      <c r="O21" s="4"/>
      <c r="P21" s="4"/>
    </row>
    <row r="22" spans="1:16" ht="30.6" x14ac:dyDescent="0.25">
      <c r="A22" s="417" t="s">
        <v>12</v>
      </c>
      <c r="B22" s="47" t="s">
        <v>171</v>
      </c>
      <c r="C22" s="233" t="s">
        <v>10</v>
      </c>
      <c r="D22" s="430" t="s">
        <v>172</v>
      </c>
      <c r="E22" s="431"/>
      <c r="F22" s="430" t="s">
        <v>173</v>
      </c>
      <c r="G22" s="431"/>
      <c r="H22" s="4"/>
      <c r="I22" s="4"/>
      <c r="J22" s="4"/>
      <c r="K22" s="6"/>
      <c r="L22" s="4"/>
      <c r="M22" s="4"/>
      <c r="N22" s="4"/>
      <c r="O22" s="4"/>
      <c r="P22" s="4"/>
    </row>
    <row r="23" spans="1:16" ht="12" customHeight="1" x14ac:dyDescent="0.25">
      <c r="A23" s="418"/>
      <c r="B23" s="52" t="s">
        <v>12</v>
      </c>
      <c r="C23" s="52">
        <v>2005</v>
      </c>
      <c r="D23" s="53">
        <v>2000</v>
      </c>
      <c r="E23" s="53">
        <v>2005</v>
      </c>
      <c r="F23" s="53">
        <v>2000</v>
      </c>
      <c r="G23" s="53">
        <v>2005</v>
      </c>
      <c r="H23" s="4"/>
      <c r="I23" s="4"/>
      <c r="J23" s="4"/>
      <c r="K23" s="6"/>
      <c r="L23" s="4"/>
      <c r="M23" s="4"/>
      <c r="N23" s="4"/>
      <c r="O23" s="4"/>
      <c r="P23" s="4"/>
    </row>
    <row r="24" spans="1:16" x14ac:dyDescent="0.25">
      <c r="A24" s="419" t="s">
        <v>14</v>
      </c>
      <c r="B24" s="420">
        <f t="shared" ref="B24:B31" si="1">+G24-F24</f>
        <v>-7.1284360551715764</v>
      </c>
      <c r="C24" s="421">
        <f>+'GVA-productivity2'!M61</f>
        <v>0.41836517976732462</v>
      </c>
      <c r="D24" s="422">
        <f>+'GVA-productivity2'!F48</f>
        <v>1689</v>
      </c>
      <c r="E24" s="422">
        <f>+'GVA-productivity2'!G48</f>
        <v>876</v>
      </c>
      <c r="F24" s="421">
        <f>+'GVA-productivity2'!L48</f>
        <v>13.501199040767386</v>
      </c>
      <c r="G24" s="421">
        <f>+'GVA-productivity2'!M48</f>
        <v>6.3727629855958092</v>
      </c>
      <c r="H24" s="4"/>
      <c r="I24" s="4"/>
      <c r="J24" s="4"/>
      <c r="K24" s="6"/>
      <c r="L24" s="4"/>
      <c r="M24" s="4"/>
      <c r="N24" s="4"/>
      <c r="O24" s="4"/>
      <c r="P24" s="4"/>
    </row>
    <row r="25" spans="1:16" x14ac:dyDescent="0.25">
      <c r="A25" s="419" t="s">
        <v>175</v>
      </c>
      <c r="B25" s="420">
        <f t="shared" si="1"/>
        <v>-1.4546791200823717</v>
      </c>
      <c r="C25" s="421">
        <f>+'GVA-productivity2'!M62</f>
        <v>2.6583375651894769</v>
      </c>
      <c r="D25" s="422">
        <f>+'GVA-productivity2'!F49</f>
        <v>617</v>
      </c>
      <c r="E25" s="422">
        <f>+'GVA-productivity2'!G49</f>
        <v>478</v>
      </c>
      <c r="F25" s="421">
        <f>+'GVA-productivity2'!L49</f>
        <v>4.9320543565147883</v>
      </c>
      <c r="G25" s="421">
        <f>+'GVA-productivity2'!M49</f>
        <v>3.4773752364324166</v>
      </c>
      <c r="H25" s="4"/>
      <c r="I25" s="4"/>
      <c r="J25" s="4"/>
      <c r="K25" s="6"/>
      <c r="L25" s="4"/>
      <c r="M25" s="4"/>
      <c r="N25" s="4"/>
      <c r="O25" s="4"/>
      <c r="P25" s="4"/>
    </row>
    <row r="26" spans="1:16" x14ac:dyDescent="0.25">
      <c r="A26" s="419" t="s">
        <v>20</v>
      </c>
      <c r="B26" s="420">
        <f t="shared" si="1"/>
        <v>0.64000480104785673</v>
      </c>
      <c r="C26" s="421">
        <f>+'GVA-productivity2'!M63</f>
        <v>1.5363389066156055</v>
      </c>
      <c r="D26" s="422">
        <f>+'GVA-productivity2'!F50</f>
        <v>1397</v>
      </c>
      <c r="E26" s="422">
        <f>+'GVA-productivity2'!G50</f>
        <v>1623</v>
      </c>
      <c r="F26" s="421">
        <f>+'GVA-productivity2'!L50</f>
        <v>11.167066346922462</v>
      </c>
      <c r="G26" s="421">
        <f>+'GVA-productivity2'!M50</f>
        <v>11.807071147970319</v>
      </c>
      <c r="H26" s="4"/>
      <c r="I26" s="4"/>
      <c r="J26" s="4"/>
      <c r="K26" s="6"/>
      <c r="L26" s="4"/>
      <c r="M26" s="4"/>
      <c r="N26" s="4"/>
      <c r="O26" s="4"/>
      <c r="P26" s="4"/>
    </row>
    <row r="27" spans="1:16" x14ac:dyDescent="0.25">
      <c r="A27" s="419" t="s">
        <v>22</v>
      </c>
      <c r="B27" s="420">
        <f t="shared" si="1"/>
        <v>1.6159364084463546</v>
      </c>
      <c r="C27" s="421">
        <f>+'GVA-productivity2'!M64</f>
        <v>0.44797519557973769</v>
      </c>
      <c r="D27" s="422">
        <f>+'GVA-productivity2'!F51</f>
        <v>606</v>
      </c>
      <c r="E27" s="422">
        <f>+'GVA-productivity2'!G51</f>
        <v>888</v>
      </c>
      <c r="F27" s="421">
        <f>+'GVA-productivity2'!L51</f>
        <v>4.8441247002398082</v>
      </c>
      <c r="G27" s="421">
        <f>+'GVA-productivity2'!M51</f>
        <v>6.4600611086861628</v>
      </c>
      <c r="H27" s="4"/>
      <c r="I27" s="4"/>
      <c r="J27" s="4"/>
      <c r="K27" s="6"/>
      <c r="L27" s="4"/>
      <c r="M27" s="4"/>
      <c r="N27" s="4"/>
      <c r="O27" s="4"/>
      <c r="P27" s="4"/>
    </row>
    <row r="28" spans="1:16" x14ac:dyDescent="0.25">
      <c r="A28" s="419" t="s">
        <v>150</v>
      </c>
      <c r="B28" s="420">
        <f t="shared" si="1"/>
        <v>3.5219210053170862</v>
      </c>
      <c r="C28" s="421">
        <f>+'GVA-productivity2'!M65</f>
        <v>0.61534548640544762</v>
      </c>
      <c r="D28" s="422">
        <f>+'GVA-productivity2'!F52</f>
        <v>2438</v>
      </c>
      <c r="E28" s="422">
        <f>+'GVA-productivity2'!G52</f>
        <v>3163</v>
      </c>
      <c r="F28" s="421">
        <f>+'GVA-productivity2'!L52</f>
        <v>19.488409272581936</v>
      </c>
      <c r="G28" s="421">
        <f>+'GVA-productivity2'!M52</f>
        <v>23.010330277899023</v>
      </c>
      <c r="H28" s="4"/>
      <c r="I28" s="4"/>
      <c r="J28" s="4"/>
      <c r="K28" s="6"/>
      <c r="L28" s="4"/>
      <c r="M28" s="4"/>
      <c r="N28" s="4"/>
      <c r="O28" s="4"/>
      <c r="P28" s="4"/>
    </row>
    <row r="29" spans="1:16" x14ac:dyDescent="0.25">
      <c r="A29" s="423" t="s">
        <v>151</v>
      </c>
      <c r="B29" s="420">
        <f t="shared" si="1"/>
        <v>9.1833996792090034E-2</v>
      </c>
      <c r="C29" s="421">
        <f>+'GVA-productivity2'!M66</f>
        <v>2.5561053006967627</v>
      </c>
      <c r="D29" s="422">
        <f>+'GVA-productivity2'!F53</f>
        <v>520</v>
      </c>
      <c r="E29" s="422">
        <f>+'GVA-productivity2'!G53</f>
        <v>584</v>
      </c>
      <c r="F29" s="421">
        <f>+'GVA-productivity2'!L53</f>
        <v>4.1566746602717828</v>
      </c>
      <c r="G29" s="421">
        <f>+'GVA-productivity2'!M53</f>
        <v>4.2485086570638728</v>
      </c>
      <c r="H29" s="4"/>
      <c r="I29" s="4"/>
      <c r="J29" s="4"/>
      <c r="K29" s="6"/>
      <c r="L29" s="4"/>
      <c r="M29" s="4"/>
      <c r="N29" s="4"/>
      <c r="O29" s="4"/>
      <c r="P29" s="4"/>
    </row>
    <row r="30" spans="1:16" x14ac:dyDescent="0.25">
      <c r="A30" s="419" t="s">
        <v>152</v>
      </c>
      <c r="B30" s="420">
        <f t="shared" si="1"/>
        <v>2.7134189636505539</v>
      </c>
      <c r="C30" s="421">
        <f>+'GVA-productivity2'!M67</f>
        <v>0.94203512522725419</v>
      </c>
      <c r="D30" s="422">
        <f>+'GVA-productivity2'!F54</f>
        <v>5243</v>
      </c>
      <c r="E30" s="422">
        <f>+'GVA-productivity2'!G54</f>
        <v>6134</v>
      </c>
      <c r="F30" s="421">
        <f>+'GVA-productivity2'!L54</f>
        <v>41.910471622701841</v>
      </c>
      <c r="G30" s="421">
        <f>+'GVA-productivity2'!M54</f>
        <v>44.623890586352395</v>
      </c>
      <c r="H30" s="4"/>
      <c r="I30" s="4"/>
      <c r="J30" s="4"/>
      <c r="K30" s="6"/>
      <c r="L30" s="4"/>
      <c r="M30" s="4"/>
      <c r="N30" s="4"/>
      <c r="O30" s="4"/>
      <c r="P30" s="4"/>
    </row>
    <row r="31" spans="1:16" x14ac:dyDescent="0.25">
      <c r="A31" s="85" t="s">
        <v>176</v>
      </c>
      <c r="B31" s="424">
        <f t="shared" si="1"/>
        <v>0</v>
      </c>
      <c r="C31" s="425">
        <f>+'GVA-productivity2'!M69</f>
        <v>1</v>
      </c>
      <c r="D31" s="426">
        <f>+'GVA-productivity2'!F56</f>
        <v>12510</v>
      </c>
      <c r="E31" s="426">
        <f>+'GVA-productivity2'!G56</f>
        <v>13746</v>
      </c>
      <c r="F31" s="425">
        <f>+'GVA-productivity2'!L56</f>
        <v>100</v>
      </c>
      <c r="G31" s="425">
        <f>+'GVA-productivity2'!M56</f>
        <v>100</v>
      </c>
      <c r="H31" s="4"/>
      <c r="I31" s="4"/>
      <c r="J31" s="4"/>
      <c r="K31" s="6"/>
      <c r="L31" s="4"/>
      <c r="M31" s="4"/>
      <c r="N31" s="4"/>
      <c r="O31" s="4"/>
      <c r="P31" s="4"/>
    </row>
    <row r="32" spans="1:16" x14ac:dyDescent="0.25">
      <c r="A32" s="59" t="s">
        <v>49</v>
      </c>
      <c r="B32" s="427"/>
      <c r="C32" s="427"/>
      <c r="D32" s="428">
        <f>SUM(D24:D30)</f>
        <v>12510</v>
      </c>
      <c r="E32" s="428">
        <f>SUM(E24:E30)</f>
        <v>13746</v>
      </c>
      <c r="F32" s="429">
        <f>SUM(F24:F30)</f>
        <v>100</v>
      </c>
      <c r="G32" s="429">
        <f>SUM(G24:G30)</f>
        <v>100</v>
      </c>
      <c r="H32" s="4"/>
      <c r="I32" s="4"/>
      <c r="J32" s="4"/>
      <c r="K32" s="6"/>
      <c r="L32" s="4"/>
      <c r="M32" s="4"/>
      <c r="N32" s="4"/>
      <c r="O32" s="4"/>
      <c r="P32" s="4"/>
    </row>
    <row r="33" spans="1:16" x14ac:dyDescent="0.25">
      <c r="A33" s="59"/>
      <c r="B33" s="44"/>
      <c r="C33" s="61"/>
      <c r="D33" s="62"/>
      <c r="E33" s="62"/>
      <c r="F33" s="60"/>
      <c r="G33" s="60"/>
      <c r="H33" s="4"/>
      <c r="I33" s="4"/>
      <c r="J33" s="4"/>
      <c r="K33" s="6"/>
      <c r="L33" s="4"/>
      <c r="M33" s="4"/>
      <c r="N33" s="4"/>
      <c r="O33" s="4"/>
      <c r="P33" s="4"/>
    </row>
    <row r="34" spans="1:16" x14ac:dyDescent="0.25">
      <c r="A34" s="59"/>
      <c r="B34" s="44"/>
      <c r="C34" s="61"/>
      <c r="D34" s="62"/>
      <c r="E34" s="62"/>
      <c r="F34" s="60"/>
      <c r="G34" s="60"/>
      <c r="H34" s="4"/>
      <c r="I34" s="4"/>
      <c r="J34" s="4"/>
      <c r="K34" s="6"/>
      <c r="L34" s="4"/>
      <c r="M34" s="4"/>
      <c r="N34" s="4"/>
      <c r="O34" s="4"/>
      <c r="P34" s="4"/>
    </row>
    <row r="35" spans="1:16" x14ac:dyDescent="0.25">
      <c r="A35" s="59"/>
      <c r="B35" s="44"/>
      <c r="C35" s="61"/>
      <c r="D35" s="62"/>
      <c r="E35" s="62"/>
      <c r="F35" s="60"/>
      <c r="G35" s="60"/>
      <c r="H35" s="4"/>
      <c r="I35" s="4"/>
      <c r="J35" s="4"/>
      <c r="K35" s="6"/>
      <c r="L35" s="4"/>
      <c r="M35" s="4"/>
      <c r="N35" s="4"/>
      <c r="O35" s="4"/>
      <c r="P35" s="4"/>
    </row>
    <row r="36" spans="1:16" x14ac:dyDescent="0.25">
      <c r="A36" s="59"/>
      <c r="B36" s="44"/>
      <c r="C36" s="61"/>
      <c r="D36" s="62"/>
      <c r="E36" s="62"/>
      <c r="F36" s="60"/>
      <c r="G36" s="60"/>
      <c r="H36" s="4"/>
      <c r="I36" s="4"/>
      <c r="J36" s="4"/>
      <c r="K36" s="6"/>
      <c r="L36" s="4"/>
      <c r="M36" s="4"/>
      <c r="N36" s="4"/>
      <c r="O36" s="4"/>
      <c r="P36" s="4"/>
    </row>
    <row r="37" spans="1:16" x14ac:dyDescent="0.25">
      <c r="A37" s="59"/>
      <c r="B37" s="44"/>
      <c r="C37" s="61"/>
      <c r="D37" s="62"/>
      <c r="E37" s="62"/>
      <c r="F37" s="60"/>
      <c r="G37" s="60"/>
      <c r="H37" s="4"/>
      <c r="I37" s="4"/>
      <c r="J37" s="4"/>
      <c r="K37" s="6"/>
      <c r="L37" s="4"/>
      <c r="M37" s="4"/>
      <c r="N37" s="4"/>
      <c r="O37" s="4"/>
      <c r="P37" s="4"/>
    </row>
    <row r="38" spans="1:16" x14ac:dyDescent="0.25">
      <c r="A38" s="4"/>
      <c r="B38" s="71"/>
      <c r="C38" s="4"/>
      <c r="D38" s="4"/>
      <c r="E38" s="4"/>
      <c r="F38" s="4"/>
      <c r="G38" s="4"/>
      <c r="H38" s="4"/>
      <c r="I38" s="4"/>
      <c r="J38" s="4"/>
      <c r="K38" s="6"/>
      <c r="L38" s="4"/>
      <c r="M38" s="4"/>
      <c r="N38" s="4"/>
      <c r="O38" s="4"/>
      <c r="P38" s="4"/>
    </row>
    <row r="39" spans="1:16" ht="30.6" x14ac:dyDescent="0.25">
      <c r="A39" s="417" t="s">
        <v>13</v>
      </c>
      <c r="B39" s="47" t="s">
        <v>171</v>
      </c>
      <c r="C39" s="432" t="s">
        <v>10</v>
      </c>
      <c r="D39" s="271" t="s">
        <v>172</v>
      </c>
      <c r="E39" s="272"/>
      <c r="F39" s="271" t="s">
        <v>173</v>
      </c>
      <c r="G39" s="272"/>
      <c r="H39" s="36"/>
      <c r="I39" s="36"/>
      <c r="J39" s="36"/>
      <c r="K39" s="42"/>
      <c r="L39" s="36"/>
      <c r="M39" s="36"/>
      <c r="N39" s="36"/>
      <c r="O39" s="36"/>
      <c r="P39" s="36"/>
    </row>
    <row r="40" spans="1:16" ht="12" customHeight="1" x14ac:dyDescent="0.25">
      <c r="A40" s="418"/>
      <c r="B40" s="91" t="s">
        <v>13</v>
      </c>
      <c r="C40" s="92">
        <v>2010</v>
      </c>
      <c r="D40" s="93">
        <v>2005</v>
      </c>
      <c r="E40" s="93">
        <v>2010</v>
      </c>
      <c r="F40" s="93">
        <v>2005</v>
      </c>
      <c r="G40" s="93">
        <v>2010</v>
      </c>
      <c r="H40" s="4"/>
      <c r="I40" s="4"/>
      <c r="J40" s="4"/>
      <c r="K40" s="6"/>
      <c r="L40" s="4"/>
      <c r="M40" s="4"/>
      <c r="N40" s="4"/>
      <c r="O40" s="4"/>
      <c r="P40" s="4"/>
    </row>
    <row r="41" spans="1:16" x14ac:dyDescent="0.25">
      <c r="A41" s="419" t="s">
        <v>14</v>
      </c>
      <c r="B41" s="420">
        <f t="shared" ref="B41:B48" si="2">+G41-F41</f>
        <v>-2.3029539590597965</v>
      </c>
      <c r="C41" s="421">
        <f>+'GVA-productivity2'!N61</f>
        <v>0.6387426883341818</v>
      </c>
      <c r="D41" s="422">
        <f>+'GVA-productivity2'!G48</f>
        <v>876</v>
      </c>
      <c r="E41" s="422">
        <f>+'GVA-productivity2'!H48</f>
        <v>569</v>
      </c>
      <c r="F41" s="421">
        <f>+'GVA-productivity2'!M48</f>
        <v>6.3727629855958092</v>
      </c>
      <c r="G41" s="421">
        <f>+'GVA-productivity2'!N48</f>
        <v>4.0698090265360127</v>
      </c>
      <c r="H41" s="4"/>
      <c r="I41" s="4"/>
      <c r="J41" s="4"/>
      <c r="K41" s="6"/>
      <c r="L41" s="4"/>
      <c r="M41" s="4"/>
      <c r="N41" s="4"/>
      <c r="O41" s="4"/>
      <c r="P41" s="4"/>
    </row>
    <row r="42" spans="1:16" x14ac:dyDescent="0.25">
      <c r="A42" s="419" t="s">
        <v>175</v>
      </c>
      <c r="B42" s="420">
        <f t="shared" si="2"/>
        <v>-0.95967264005161423</v>
      </c>
      <c r="C42" s="421">
        <f>+'GVA-productivity2'!N62</f>
        <v>2.8284075184822446</v>
      </c>
      <c r="D42" s="422">
        <f>+'GVA-productivity2'!G49</f>
        <v>478</v>
      </c>
      <c r="E42" s="422">
        <f>+'GVA-productivity2'!H49</f>
        <v>352</v>
      </c>
      <c r="F42" s="421">
        <f>+'GVA-productivity2'!M49</f>
        <v>3.4773752364324166</v>
      </c>
      <c r="G42" s="421">
        <f>+'GVA-productivity2'!N49</f>
        <v>2.5177025963808024</v>
      </c>
      <c r="H42" s="4"/>
      <c r="I42" s="4"/>
      <c r="J42" s="4"/>
      <c r="K42" s="6"/>
      <c r="L42" s="4"/>
      <c r="M42" s="4"/>
      <c r="N42" s="4"/>
      <c r="O42" s="4"/>
      <c r="P42" s="4"/>
    </row>
    <row r="43" spans="1:16" x14ac:dyDescent="0.25">
      <c r="A43" s="419" t="s">
        <v>20</v>
      </c>
      <c r="B43" s="420">
        <f t="shared" si="2"/>
        <v>-0.72774921105593471</v>
      </c>
      <c r="C43" s="421">
        <f>+'GVA-productivity2'!N63</f>
        <v>1.5245663430968983</v>
      </c>
      <c r="D43" s="422">
        <f>+'GVA-productivity2'!G50</f>
        <v>1623</v>
      </c>
      <c r="E43" s="422">
        <f>+'GVA-productivity2'!H50</f>
        <v>1549</v>
      </c>
      <c r="F43" s="421">
        <f>+'GVA-productivity2'!M50</f>
        <v>11.807071147970319</v>
      </c>
      <c r="G43" s="421">
        <f>+'GVA-productivity2'!N50</f>
        <v>11.079321936914384</v>
      </c>
      <c r="H43" s="4"/>
      <c r="I43" s="4"/>
      <c r="J43" s="4"/>
      <c r="K43" s="6"/>
      <c r="L43" s="4"/>
      <c r="M43" s="4"/>
      <c r="N43" s="4"/>
      <c r="O43" s="4"/>
      <c r="P43" s="4"/>
    </row>
    <row r="44" spans="1:16" x14ac:dyDescent="0.25">
      <c r="A44" s="419" t="s">
        <v>22</v>
      </c>
      <c r="B44" s="420">
        <f t="shared" si="2"/>
        <v>0.29911205489298087</v>
      </c>
      <c r="C44" s="421">
        <f>+'GVA-productivity2'!N64</f>
        <v>0.56267278774000973</v>
      </c>
      <c r="D44" s="422">
        <f>+'GVA-productivity2'!G51</f>
        <v>888</v>
      </c>
      <c r="E44" s="422">
        <f>+'GVA-productivity2'!H51</f>
        <v>945</v>
      </c>
      <c r="F44" s="421">
        <f>+'GVA-productivity2'!M51</f>
        <v>6.4600611086861628</v>
      </c>
      <c r="G44" s="421">
        <f>+'GVA-productivity2'!N51</f>
        <v>6.7591731635791437</v>
      </c>
      <c r="H44" s="4"/>
      <c r="I44" s="4"/>
      <c r="J44" s="4"/>
      <c r="K44" s="6"/>
      <c r="L44" s="4"/>
      <c r="M44" s="4"/>
      <c r="N44" s="4"/>
      <c r="O44" s="4"/>
      <c r="P44" s="4"/>
    </row>
    <row r="45" spans="1:16" x14ac:dyDescent="0.25">
      <c r="A45" s="419" t="s">
        <v>150</v>
      </c>
      <c r="B45" s="420">
        <f t="shared" si="2"/>
        <v>-2.0390120603180186</v>
      </c>
      <c r="C45" s="421">
        <f>+'GVA-productivity2'!N65</f>
        <v>0.68063776772407014</v>
      </c>
      <c r="D45" s="422">
        <f>+'GVA-productivity2'!G52</f>
        <v>3163</v>
      </c>
      <c r="E45" s="422">
        <f>+'GVA-productivity2'!H52</f>
        <v>2932</v>
      </c>
      <c r="F45" s="421">
        <f>+'GVA-productivity2'!M52</f>
        <v>23.010330277899023</v>
      </c>
      <c r="G45" s="421">
        <f>+'GVA-productivity2'!N52</f>
        <v>20.971318217581004</v>
      </c>
      <c r="H45" s="4"/>
      <c r="I45" s="4"/>
      <c r="J45" s="4"/>
      <c r="K45" s="6"/>
      <c r="L45" s="4"/>
      <c r="M45" s="4"/>
      <c r="N45" s="4"/>
      <c r="O45" s="4"/>
      <c r="P45" s="4"/>
    </row>
    <row r="46" spans="1:16" x14ac:dyDescent="0.25">
      <c r="A46" s="423" t="s">
        <v>151</v>
      </c>
      <c r="B46" s="420">
        <f t="shared" si="2"/>
        <v>0.68676063697804146</v>
      </c>
      <c r="C46" s="421">
        <f>+'GVA-productivity2'!N66</f>
        <v>2.239725873266035</v>
      </c>
      <c r="D46" s="422">
        <f>+'GVA-productivity2'!G53</f>
        <v>584</v>
      </c>
      <c r="E46" s="422">
        <f>+'GVA-productivity2'!H53</f>
        <v>690</v>
      </c>
      <c r="F46" s="421">
        <f>+'GVA-productivity2'!M53</f>
        <v>4.2485086570638728</v>
      </c>
      <c r="G46" s="421">
        <f>+'GVA-productivity2'!N53</f>
        <v>4.9352692940419143</v>
      </c>
      <c r="H46" s="4"/>
      <c r="I46" s="4"/>
      <c r="J46" s="4"/>
      <c r="K46" s="6"/>
      <c r="L46" s="4"/>
      <c r="M46" s="4"/>
      <c r="N46" s="4"/>
      <c r="O46" s="4"/>
      <c r="P46" s="4"/>
    </row>
    <row r="47" spans="1:16" x14ac:dyDescent="0.25">
      <c r="A47" s="419" t="s">
        <v>152</v>
      </c>
      <c r="B47" s="420">
        <f t="shared" si="2"/>
        <v>5.0435151786143493</v>
      </c>
      <c r="C47" s="421">
        <f>+'GVA-productivity2'!N67</f>
        <v>0.89107663111177393</v>
      </c>
      <c r="D47" s="422">
        <f>+'GVA-productivity2'!G54</f>
        <v>6134</v>
      </c>
      <c r="E47" s="422">
        <f>+'GVA-productivity2'!H54</f>
        <v>6944</v>
      </c>
      <c r="F47" s="421">
        <f>+'GVA-productivity2'!M54</f>
        <v>44.623890586352395</v>
      </c>
      <c r="G47" s="421">
        <f>+'GVA-productivity2'!N54</f>
        <v>49.667405764966745</v>
      </c>
      <c r="H47" s="4"/>
      <c r="I47" s="4"/>
      <c r="J47" s="4"/>
      <c r="K47" s="6"/>
      <c r="L47" s="4"/>
      <c r="M47" s="4"/>
      <c r="N47" s="4"/>
      <c r="O47" s="4"/>
      <c r="P47" s="4"/>
    </row>
    <row r="48" spans="1:16" x14ac:dyDescent="0.25">
      <c r="A48" s="85" t="s">
        <v>176</v>
      </c>
      <c r="B48" s="424">
        <f t="shared" si="2"/>
        <v>0</v>
      </c>
      <c r="C48" s="425">
        <f>+'GVA-productivity2'!N69</f>
        <v>1</v>
      </c>
      <c r="D48" s="426">
        <f>+'GVA-productivity2'!G56</f>
        <v>13746</v>
      </c>
      <c r="E48" s="426">
        <f>+'GVA-productivity2'!H56</f>
        <v>13981</v>
      </c>
      <c r="F48" s="425">
        <f>+'GVA-productivity2'!M56</f>
        <v>100</v>
      </c>
      <c r="G48" s="425">
        <f>+'GVA-productivity2'!N56</f>
        <v>100.00000000000001</v>
      </c>
      <c r="H48" s="4"/>
      <c r="I48" s="4"/>
      <c r="J48" s="4"/>
      <c r="K48" s="6"/>
      <c r="L48" s="4"/>
      <c r="M48" s="4"/>
      <c r="N48" s="4"/>
      <c r="O48" s="4"/>
      <c r="P48" s="4"/>
    </row>
    <row r="49" spans="1:16" x14ac:dyDescent="0.25">
      <c r="A49" s="59" t="s">
        <v>49</v>
      </c>
      <c r="B49" s="427"/>
      <c r="C49" s="427"/>
      <c r="D49" s="428">
        <f>SUM(D41:D47)</f>
        <v>13746</v>
      </c>
      <c r="E49" s="428">
        <f>SUM(E41:E47)</f>
        <v>13981</v>
      </c>
      <c r="F49" s="429">
        <f>SUM(F41:F47)</f>
        <v>100</v>
      </c>
      <c r="G49" s="429">
        <f>SUM(G41:G47)</f>
        <v>100.00000000000001</v>
      </c>
      <c r="H49" s="4"/>
      <c r="I49" s="4"/>
      <c r="J49" s="4"/>
      <c r="K49" s="6"/>
      <c r="L49" s="4"/>
      <c r="M49" s="4"/>
      <c r="N49" s="4"/>
      <c r="O49" s="4"/>
      <c r="P49" s="4"/>
    </row>
    <row r="56" spans="1:16" ht="40.799999999999997" x14ac:dyDescent="0.25">
      <c r="A56" s="417" t="s">
        <v>168</v>
      </c>
      <c r="B56" s="433" t="s">
        <v>42</v>
      </c>
      <c r="C56" s="432" t="s">
        <v>10</v>
      </c>
      <c r="D56" s="271" t="s">
        <v>172</v>
      </c>
      <c r="E56" s="272"/>
      <c r="F56" s="271" t="s">
        <v>173</v>
      </c>
      <c r="G56" s="272"/>
    </row>
    <row r="57" spans="1:16" ht="12" customHeight="1" x14ac:dyDescent="0.25">
      <c r="A57" s="418"/>
      <c r="B57" s="91" t="s">
        <v>168</v>
      </c>
      <c r="C57" s="92">
        <v>2013</v>
      </c>
      <c r="D57" s="93">
        <v>2010</v>
      </c>
      <c r="E57" s="93">
        <v>2013</v>
      </c>
      <c r="F57" s="93">
        <v>2010</v>
      </c>
      <c r="G57" s="93">
        <v>2013</v>
      </c>
    </row>
    <row r="58" spans="1:16" x14ac:dyDescent="0.25">
      <c r="A58" s="419" t="s">
        <v>14</v>
      </c>
      <c r="B58" s="420">
        <f t="shared" ref="B58:B65" si="3">+G58-F58</f>
        <v>0.12274816021714585</v>
      </c>
      <c r="C58" s="421">
        <f>+'GVA-productivity2'!O61</f>
        <v>0.59496606752657732</v>
      </c>
      <c r="D58" s="422">
        <f>+'GVA-productivity2'!H48</f>
        <v>569</v>
      </c>
      <c r="E58" s="422">
        <f>+'GVA-productivity2'!I48</f>
        <v>614</v>
      </c>
      <c r="F58" s="421">
        <f>+'GVA-productivity2'!N48</f>
        <v>4.0698090265360127</v>
      </c>
      <c r="G58" s="421">
        <f>+'GVA-productivity2'!O48</f>
        <v>4.1925571867531586</v>
      </c>
    </row>
    <row r="59" spans="1:16" x14ac:dyDescent="0.25">
      <c r="A59" s="419" t="s">
        <v>175</v>
      </c>
      <c r="B59" s="420">
        <f t="shared" si="3"/>
        <v>0.45942270235596805</v>
      </c>
      <c r="C59" s="421">
        <f>+'GVA-productivity2'!O62</f>
        <v>2.1631404924946458</v>
      </c>
      <c r="D59" s="422">
        <f>+'GVA-productivity2'!H49</f>
        <v>352</v>
      </c>
      <c r="E59" s="422">
        <f>+'GVA-productivity2'!I49</f>
        <v>436</v>
      </c>
      <c r="F59" s="421">
        <f>+'GVA-productivity2'!N49</f>
        <v>2.5177025963808024</v>
      </c>
      <c r="G59" s="421">
        <f>+'GVA-productivity2'!O49</f>
        <v>2.9771252987367705</v>
      </c>
    </row>
    <row r="60" spans="1:16" x14ac:dyDescent="0.25">
      <c r="A60" s="419" t="s">
        <v>20</v>
      </c>
      <c r="B60" s="420">
        <f t="shared" si="3"/>
        <v>-0.97348376689048521</v>
      </c>
      <c r="C60" s="421">
        <f>+'GVA-productivity2'!O63</f>
        <v>1.6375167803330679</v>
      </c>
      <c r="D60" s="422">
        <f>+'GVA-productivity2'!H50</f>
        <v>1549</v>
      </c>
      <c r="E60" s="422">
        <f>+'GVA-productivity2'!I50</f>
        <v>1480</v>
      </c>
      <c r="F60" s="421">
        <f>+'GVA-productivity2'!N50</f>
        <v>11.079321936914384</v>
      </c>
      <c r="G60" s="421">
        <f>+'GVA-productivity2'!O50</f>
        <v>10.105838170023899</v>
      </c>
    </row>
    <row r="61" spans="1:16" x14ac:dyDescent="0.25">
      <c r="A61" s="419" t="s">
        <v>22</v>
      </c>
      <c r="B61" s="420">
        <f t="shared" si="3"/>
        <v>-0.35425680987480757</v>
      </c>
      <c r="C61" s="421">
        <f>+'GVA-productivity2'!O64</f>
        <v>0.57961621070679947</v>
      </c>
      <c r="D61" s="422">
        <f>+'GVA-productivity2'!H51</f>
        <v>945</v>
      </c>
      <c r="E61" s="422">
        <f>+'GVA-productivity2'!I51</f>
        <v>938</v>
      </c>
      <c r="F61" s="421">
        <f>+'GVA-productivity2'!N51</f>
        <v>6.7591731635791437</v>
      </c>
      <c r="G61" s="421">
        <f>+'GVA-productivity2'!O51</f>
        <v>6.4049163537043361</v>
      </c>
    </row>
    <row r="62" spans="1:16" x14ac:dyDescent="0.25">
      <c r="A62" s="419" t="s">
        <v>150</v>
      </c>
      <c r="B62" s="420">
        <f t="shared" si="3"/>
        <v>-1.1761662885950024</v>
      </c>
      <c r="C62" s="421">
        <f>+'GVA-productivity2'!O65</f>
        <v>0.73261386324670275</v>
      </c>
      <c r="D62" s="422">
        <f>+'GVA-productivity2'!H52</f>
        <v>2932</v>
      </c>
      <c r="E62" s="422">
        <f>+'GVA-productivity2'!I52</f>
        <v>2899</v>
      </c>
      <c r="F62" s="421">
        <f>+'GVA-productivity2'!N52</f>
        <v>20.971318217581004</v>
      </c>
      <c r="G62" s="421">
        <f>+'GVA-productivity2'!O52</f>
        <v>19.795151928986002</v>
      </c>
    </row>
    <row r="63" spans="1:16" x14ac:dyDescent="0.25">
      <c r="A63" s="423" t="s">
        <v>151</v>
      </c>
      <c r="B63" s="420">
        <f t="shared" si="3"/>
        <v>0.12447806000383554</v>
      </c>
      <c r="C63" s="421">
        <f>+'GVA-productivity2'!O66</f>
        <v>2.1810638097476227</v>
      </c>
      <c r="D63" s="422">
        <f>+'GVA-productivity2'!H53</f>
        <v>690</v>
      </c>
      <c r="E63" s="422">
        <f>+'GVA-productivity2'!I53</f>
        <v>741</v>
      </c>
      <c r="F63" s="421">
        <f>+'GVA-productivity2'!N53</f>
        <v>4.9352692940419143</v>
      </c>
      <c r="G63" s="421">
        <f>+'GVA-productivity2'!O53</f>
        <v>5.0597473540457498</v>
      </c>
    </row>
    <row r="64" spans="1:16" x14ac:dyDescent="0.25">
      <c r="A64" s="419" t="s">
        <v>152</v>
      </c>
      <c r="B64" s="420">
        <f t="shared" si="3"/>
        <v>1.7972579427833324</v>
      </c>
      <c r="C64" s="421">
        <f>+'GVA-productivity2'!O67</f>
        <v>0.87957288930607935</v>
      </c>
      <c r="D64" s="422">
        <f>+'GVA-productivity2'!H54</f>
        <v>6944</v>
      </c>
      <c r="E64" s="422">
        <f>+'GVA-productivity2'!I54</f>
        <v>7537</v>
      </c>
      <c r="F64" s="421">
        <f>+'GVA-productivity2'!N54</f>
        <v>49.667405764966745</v>
      </c>
      <c r="G64" s="421">
        <f>+'GVA-productivity2'!O54</f>
        <v>51.464663707750077</v>
      </c>
    </row>
    <row r="65" spans="1:7" x14ac:dyDescent="0.25">
      <c r="A65" s="85" t="s">
        <v>176</v>
      </c>
      <c r="B65" s="424">
        <f t="shared" si="3"/>
        <v>0</v>
      </c>
      <c r="C65" s="425">
        <f>+'GVA-productivity2'!O69</f>
        <v>1</v>
      </c>
      <c r="D65" s="426">
        <f>+'GVA-productivity2'!H56</f>
        <v>13981</v>
      </c>
      <c r="E65" s="426">
        <f>+'GVA-productivity2'!I56</f>
        <v>14645</v>
      </c>
      <c r="F65" s="425">
        <f>+'GVA-productivity2'!N56</f>
        <v>100.00000000000001</v>
      </c>
      <c r="G65" s="425">
        <f>+'GVA-productivity2'!O56</f>
        <v>100</v>
      </c>
    </row>
    <row r="66" spans="1:7" x14ac:dyDescent="0.25">
      <c r="A66" s="59" t="s">
        <v>49</v>
      </c>
      <c r="B66" s="427"/>
      <c r="C66" s="427"/>
      <c r="D66" s="428">
        <f>SUM(D58:D64)</f>
        <v>13981</v>
      </c>
      <c r="E66" s="428">
        <f>SUM(E58:E64)</f>
        <v>14645</v>
      </c>
      <c r="F66" s="429">
        <f>SUM(F58:F64)</f>
        <v>100.00000000000001</v>
      </c>
      <c r="G66" s="429">
        <f>SUM(G58:G64)</f>
        <v>100</v>
      </c>
    </row>
  </sheetData>
  <mergeCells count="12">
    <mergeCell ref="A39:A40"/>
    <mergeCell ref="D39:E39"/>
    <mergeCell ref="F39:G39"/>
    <mergeCell ref="A56:A57"/>
    <mergeCell ref="D56:E56"/>
    <mergeCell ref="F56:G56"/>
    <mergeCell ref="A5:A6"/>
    <mergeCell ref="D5:E5"/>
    <mergeCell ref="F5:G5"/>
    <mergeCell ref="A22:A23"/>
    <mergeCell ref="D22:E22"/>
    <mergeCell ref="F22:G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F34" sqref="F34"/>
    </sheetView>
  </sheetViews>
  <sheetFormatPr defaultRowHeight="12" x14ac:dyDescent="0.25"/>
  <cols>
    <col min="1" max="1" width="28.140625" customWidth="1"/>
    <col min="2" max="6" width="12.85546875" customWidth="1"/>
    <col min="7" max="7" width="3.42578125" customWidth="1"/>
  </cols>
  <sheetData>
    <row r="1" spans="1:6" ht="14.4" x14ac:dyDescent="0.3">
      <c r="A1" s="112" t="s">
        <v>50</v>
      </c>
      <c r="B1" s="95"/>
      <c r="C1" s="96"/>
      <c r="D1" s="96"/>
      <c r="E1" s="96"/>
      <c r="F1" s="96"/>
    </row>
    <row r="2" spans="1:6" ht="11.25" customHeight="1" x14ac:dyDescent="0.25">
      <c r="A2" s="284" t="s">
        <v>185</v>
      </c>
      <c r="B2" s="95"/>
      <c r="C2" s="96"/>
      <c r="D2" s="96"/>
      <c r="E2" s="96"/>
      <c r="F2" s="96"/>
    </row>
    <row r="3" spans="1:6" ht="11.25" customHeight="1" x14ac:dyDescent="0.25">
      <c r="A3" s="415"/>
      <c r="B3" s="95"/>
      <c r="C3" s="96"/>
      <c r="D3" s="96"/>
      <c r="E3" s="96"/>
      <c r="F3" s="96"/>
    </row>
    <row r="4" spans="1:6" ht="24" x14ac:dyDescent="0.25">
      <c r="A4" s="109"/>
      <c r="B4" s="134" t="s">
        <v>54</v>
      </c>
      <c r="C4" s="134" t="s">
        <v>55</v>
      </c>
      <c r="D4" s="96"/>
    </row>
    <row r="5" spans="1:6" ht="11.25" customHeight="1" x14ac:dyDescent="0.25">
      <c r="A5" s="133" t="s">
        <v>167</v>
      </c>
      <c r="B5" s="434">
        <f>+F19</f>
        <v>-1.2905849784926884E-2</v>
      </c>
      <c r="C5" s="434">
        <f>+B19-F19</f>
        <v>1.6097964924222802E-3</v>
      </c>
      <c r="D5" s="96"/>
    </row>
    <row r="6" spans="1:6" ht="11.25" customHeight="1" x14ac:dyDescent="0.25">
      <c r="A6" s="133" t="s">
        <v>12</v>
      </c>
      <c r="B6" s="434">
        <f>+F29</f>
        <v>2.6466958200844076E-2</v>
      </c>
      <c r="C6" s="434">
        <f>+B29-F29</f>
        <v>-8.1074790452979328E-3</v>
      </c>
      <c r="D6" s="96"/>
    </row>
    <row r="7" spans="1:6" ht="11.25" customHeight="1" x14ac:dyDescent="0.25">
      <c r="A7" s="133" t="s">
        <v>13</v>
      </c>
      <c r="B7" s="434">
        <f>+F39</f>
        <v>3.5489261224881392E-2</v>
      </c>
      <c r="C7" s="434">
        <f>+B39-F39</f>
        <v>-7.7474188433301963E-3</v>
      </c>
      <c r="D7" s="96"/>
    </row>
    <row r="8" spans="1:6" ht="11.25" customHeight="1" x14ac:dyDescent="0.25">
      <c r="A8" s="133" t="s">
        <v>168</v>
      </c>
      <c r="B8" s="434">
        <f>+F49</f>
        <v>1.259682033286288E-2</v>
      </c>
      <c r="C8" s="434">
        <f>+B49-F49</f>
        <v>-2.8925853836035634E-3</v>
      </c>
      <c r="D8" s="96"/>
      <c r="E8" s="435"/>
      <c r="F8" s="435"/>
    </row>
    <row r="9" spans="1:6" s="132" customFormat="1" ht="11.25" customHeight="1" x14ac:dyDescent="0.3">
      <c r="A9" s="127"/>
      <c r="B9" s="128"/>
      <c r="C9" s="129"/>
      <c r="D9" s="129"/>
      <c r="E9" s="436"/>
      <c r="F9" s="437"/>
    </row>
    <row r="10" spans="1:6" ht="49.8" customHeight="1" x14ac:dyDescent="0.25">
      <c r="A10" s="438"/>
      <c r="B10" s="133" t="s">
        <v>51</v>
      </c>
      <c r="C10" s="133" t="s">
        <v>52</v>
      </c>
      <c r="D10" s="133" t="s">
        <v>52</v>
      </c>
      <c r="E10" s="133" t="s">
        <v>53</v>
      </c>
      <c r="F10" s="134" t="s">
        <v>54</v>
      </c>
    </row>
    <row r="11" spans="1:6" ht="12.6" customHeight="1" x14ac:dyDescent="0.25">
      <c r="A11" s="439" t="s">
        <v>167</v>
      </c>
      <c r="B11" s="135" t="s">
        <v>167</v>
      </c>
      <c r="C11" s="135" t="s">
        <v>174</v>
      </c>
      <c r="D11" s="135" t="s">
        <v>45</v>
      </c>
      <c r="E11" s="135" t="s">
        <v>177</v>
      </c>
      <c r="F11" s="99" t="s">
        <v>103</v>
      </c>
    </row>
    <row r="12" spans="1:6" x14ac:dyDescent="0.25">
      <c r="A12" s="419" t="s">
        <v>14</v>
      </c>
      <c r="B12" s="66">
        <f>+'GVA-productivity2'!K75</f>
        <v>-1.8651543256986258E-2</v>
      </c>
      <c r="C12" s="66">
        <f>(+'GVA-productivity2'!K48)/100</f>
        <v>0.14762107051826678</v>
      </c>
      <c r="D12" s="66">
        <f>(+'GVA-productivity2'!L48)/100</f>
        <v>0.13501199040767387</v>
      </c>
      <c r="E12" s="440">
        <f t="shared" ref="E12:E19" si="0">+D12-C12</f>
        <v>-1.2609080110592918E-2</v>
      </c>
      <c r="F12" s="441">
        <f t="shared" ref="F12:F18" si="1">+B12*C12</f>
        <v>-2.7533607824140717E-3</v>
      </c>
    </row>
    <row r="13" spans="1:6" x14ac:dyDescent="0.25">
      <c r="A13" s="419" t="s">
        <v>175</v>
      </c>
      <c r="B13" s="66">
        <f>+'GVA-productivity2'!K76</f>
        <v>-2.4156961244289232E-2</v>
      </c>
      <c r="C13" s="66">
        <f>(+'GVA-productivity2'!K49)/100</f>
        <v>5.3419711129991505E-2</v>
      </c>
      <c r="D13" s="66">
        <f>(+'GVA-productivity2'!L49)/100</f>
        <v>4.9320543565147881E-2</v>
      </c>
      <c r="E13" s="440">
        <f t="shared" si="0"/>
        <v>-4.099167564843624E-3</v>
      </c>
      <c r="F13" s="441">
        <f t="shared" si="1"/>
        <v>-1.290457891448331E-3</v>
      </c>
    </row>
    <row r="14" spans="1:6" x14ac:dyDescent="0.25">
      <c r="A14" s="419" t="s">
        <v>20</v>
      </c>
      <c r="B14" s="66">
        <f>+'GVA-productivity2'!K77</f>
        <v>1.8043336931130582E-3</v>
      </c>
      <c r="C14" s="66">
        <f>(+'GVA-productivity2'!K50)/100</f>
        <v>0.12648683092608326</v>
      </c>
      <c r="D14" s="66">
        <f>(+'GVA-productivity2'!L50)/100</f>
        <v>0.11167066346922462</v>
      </c>
      <c r="E14" s="440">
        <f t="shared" si="0"/>
        <v>-1.4816167456858639E-2</v>
      </c>
      <c r="F14" s="441">
        <f t="shared" si="1"/>
        <v>2.2822445077502681E-4</v>
      </c>
    </row>
    <row r="15" spans="1:6" x14ac:dyDescent="0.25">
      <c r="A15" s="419" t="s">
        <v>22</v>
      </c>
      <c r="B15" s="66">
        <f>+'GVA-productivity2'!K78</f>
        <v>-5.0628734329761893E-2</v>
      </c>
      <c r="C15" s="66">
        <f>(+'GVA-productivity2'!K51)/100</f>
        <v>4.1843670348343236E-2</v>
      </c>
      <c r="D15" s="66">
        <f>(+'GVA-productivity2'!L51)/100</f>
        <v>4.8441247002398082E-2</v>
      </c>
      <c r="E15" s="440">
        <f t="shared" si="0"/>
        <v>6.5975766540548458E-3</v>
      </c>
      <c r="F15" s="441">
        <f t="shared" si="1"/>
        <v>-2.118492069448405E-3</v>
      </c>
    </row>
    <row r="16" spans="1:6" x14ac:dyDescent="0.25">
      <c r="A16" s="419" t="s">
        <v>150</v>
      </c>
      <c r="B16" s="66">
        <f>+'GVA-productivity2'!K79</f>
        <v>-6.8901058885051381E-3</v>
      </c>
      <c r="C16" s="66">
        <f>(+'GVA-productivity2'!K52)/100</f>
        <v>0.1860662701784197</v>
      </c>
      <c r="D16" s="66">
        <f>(+'GVA-productivity2'!L52)/100</f>
        <v>0.19488409272581936</v>
      </c>
      <c r="E16" s="440">
        <f t="shared" si="0"/>
        <v>8.8178225473996563E-3</v>
      </c>
      <c r="F16" s="441">
        <f t="shared" si="1"/>
        <v>-1.2820163038085176E-3</v>
      </c>
    </row>
    <row r="17" spans="1:6" x14ac:dyDescent="0.25">
      <c r="A17" s="423" t="s">
        <v>151</v>
      </c>
      <c r="B17" s="66">
        <f>+'GVA-productivity2'!K80</f>
        <v>1.7769205083715267E-2</v>
      </c>
      <c r="C17" s="66">
        <f>(+'GVA-productivity2'!K53)/100</f>
        <v>3.9082412914188618E-2</v>
      </c>
      <c r="D17" s="66">
        <f>(+'GVA-productivity2'!L53)/100</f>
        <v>4.1566746602717829E-2</v>
      </c>
      <c r="E17" s="440">
        <f t="shared" si="0"/>
        <v>2.4843336885292111E-3</v>
      </c>
      <c r="F17" s="441">
        <f t="shared" si="1"/>
        <v>6.9446341023865954E-4</v>
      </c>
    </row>
    <row r="18" spans="1:6" x14ac:dyDescent="0.25">
      <c r="A18" s="419" t="s">
        <v>152</v>
      </c>
      <c r="B18" s="66">
        <f>+'GVA-productivity2'!K81</f>
        <v>-1.574482111013642E-2</v>
      </c>
      <c r="C18" s="66">
        <f>(+'GVA-productivity2'!K54)/100</f>
        <v>0.40548003398470689</v>
      </c>
      <c r="D18" s="66">
        <f>(+'GVA-productivity2'!L54)/100</f>
        <v>0.41910471622701839</v>
      </c>
      <c r="E18" s="440">
        <f t="shared" si="0"/>
        <v>1.3624682242311503E-2</v>
      </c>
      <c r="F18" s="441">
        <f t="shared" si="1"/>
        <v>-6.3842105988212456E-3</v>
      </c>
    </row>
    <row r="19" spans="1:6" s="444" customFormat="1" x14ac:dyDescent="0.25">
      <c r="A19" s="442" t="s">
        <v>178</v>
      </c>
      <c r="B19" s="123">
        <f>+'GVA-productivity2'!K83</f>
        <v>-1.1296053292504604E-2</v>
      </c>
      <c r="C19" s="123">
        <f>(+'GVA-productivity2'!K56)/100</f>
        <v>1</v>
      </c>
      <c r="D19" s="123">
        <f>(+'GVA-productivity2'!L56)/100</f>
        <v>1</v>
      </c>
      <c r="E19" s="443">
        <f t="shared" si="0"/>
        <v>0</v>
      </c>
      <c r="F19" s="434">
        <f>SUM(F12:F18)</f>
        <v>-1.2905849784926884E-2</v>
      </c>
    </row>
    <row r="20" spans="1:6" x14ac:dyDescent="0.25">
      <c r="A20" s="107"/>
      <c r="B20" s="108"/>
      <c r="C20" s="108"/>
      <c r="D20" s="108"/>
      <c r="E20" s="107"/>
      <c r="F20" s="107"/>
    </row>
    <row r="21" spans="1:6" ht="14.4" x14ac:dyDescent="0.25">
      <c r="A21" s="445" t="s">
        <v>12</v>
      </c>
      <c r="B21" s="135" t="s">
        <v>12</v>
      </c>
      <c r="C21" s="135">
        <v>2000</v>
      </c>
      <c r="D21" s="135">
        <v>2005</v>
      </c>
      <c r="E21" s="135" t="s">
        <v>58</v>
      </c>
      <c r="F21" s="99" t="s">
        <v>103</v>
      </c>
    </row>
    <row r="22" spans="1:6" x14ac:dyDescent="0.25">
      <c r="A22" s="419" t="s">
        <v>14</v>
      </c>
      <c r="B22" s="66">
        <f>+'GVA-productivity2'!L75</f>
        <v>0.15713530004696796</v>
      </c>
      <c r="C22" s="66">
        <f>(+'GVA-productivity2'!L48)/100</f>
        <v>0.13501199040767387</v>
      </c>
      <c r="D22" s="66">
        <f>(+'GVA-productivity2'!M48)/100</f>
        <v>6.372762985595809E-2</v>
      </c>
      <c r="E22" s="440">
        <f>+D22-C22</f>
        <v>-7.1284360551715775E-2</v>
      </c>
      <c r="F22" s="441">
        <f>+B22*C22</f>
        <v>2.1215149622648193E-2</v>
      </c>
    </row>
    <row r="23" spans="1:6" x14ac:dyDescent="0.25">
      <c r="A23" s="419" t="s">
        <v>175</v>
      </c>
      <c r="B23" s="66">
        <f>+'GVA-productivity2'!L76</f>
        <v>6.3768326064488789E-2</v>
      </c>
      <c r="C23" s="66">
        <f>(+'GVA-productivity2'!L49)/100</f>
        <v>4.9320543565147881E-2</v>
      </c>
      <c r="D23" s="66">
        <f>(+'GVA-productivity2'!M49)/100</f>
        <v>3.4773752364324166E-2</v>
      </c>
      <c r="E23" s="440">
        <f t="shared" ref="E23:E29" si="2">+D23-C23</f>
        <v>-1.4546791200823715E-2</v>
      </c>
      <c r="F23" s="441">
        <f t="shared" ref="F23:F28" si="3">+B23*C23</f>
        <v>3.1450885037401745E-3</v>
      </c>
    </row>
    <row r="24" spans="1:6" x14ac:dyDescent="0.25">
      <c r="A24" s="419" t="s">
        <v>20</v>
      </c>
      <c r="B24" s="66">
        <f>+'GVA-productivity2'!L77</f>
        <v>3.1989188450110007E-4</v>
      </c>
      <c r="C24" s="66">
        <f>(+'GVA-productivity2'!L50)/100</f>
        <v>0.11167066346922462</v>
      </c>
      <c r="D24" s="66">
        <f>(+'GVA-productivity2'!M50)/100</f>
        <v>0.11807071147970319</v>
      </c>
      <c r="E24" s="440">
        <f t="shared" si="2"/>
        <v>6.4000480104785679E-3</v>
      </c>
      <c r="F24" s="441">
        <f t="shared" si="3"/>
        <v>3.5722538980658418E-5</v>
      </c>
    </row>
    <row r="25" spans="1:6" x14ac:dyDescent="0.25">
      <c r="A25" s="419" t="s">
        <v>22</v>
      </c>
      <c r="B25" s="66">
        <f>+'GVA-productivity2'!L78</f>
        <v>-7.3766410452735798E-4</v>
      </c>
      <c r="C25" s="66">
        <f>(+'GVA-productivity2'!L51)/100</f>
        <v>4.8441247002398082E-2</v>
      </c>
      <c r="D25" s="66">
        <f>(+'GVA-productivity2'!M51)/100</f>
        <v>6.4600611086861631E-2</v>
      </c>
      <c r="E25" s="440">
        <f t="shared" si="2"/>
        <v>1.615936408446355E-2</v>
      </c>
      <c r="F25" s="441">
        <f t="shared" si="3"/>
        <v>-3.5733369092212548E-5</v>
      </c>
    </row>
    <row r="26" spans="1:6" x14ac:dyDescent="0.25">
      <c r="A26" s="419" t="s">
        <v>150</v>
      </c>
      <c r="B26" s="66">
        <f>+'GVA-productivity2'!L79</f>
        <v>-1.4319395803277346E-2</v>
      </c>
      <c r="C26" s="66">
        <f>(+'GVA-productivity2'!L52)/100</f>
        <v>0.19488409272581936</v>
      </c>
      <c r="D26" s="66">
        <f>(+'GVA-productivity2'!M52)/100</f>
        <v>0.23010330277899022</v>
      </c>
      <c r="E26" s="440">
        <f t="shared" si="2"/>
        <v>3.5219210053170857E-2</v>
      </c>
      <c r="F26" s="441">
        <f t="shared" si="3"/>
        <v>-2.7906224595036109E-3</v>
      </c>
    </row>
    <row r="27" spans="1:6" x14ac:dyDescent="0.25">
      <c r="A27" s="423" t="s">
        <v>151</v>
      </c>
      <c r="B27" s="66">
        <f>+'GVA-productivity2'!L80</f>
        <v>3.8458986475329304E-2</v>
      </c>
      <c r="C27" s="66">
        <f>(+'GVA-productivity2'!L53)/100</f>
        <v>4.1566746602717829E-2</v>
      </c>
      <c r="D27" s="66">
        <f>(+'GVA-productivity2'!M53)/100</f>
        <v>4.2485086570638729E-2</v>
      </c>
      <c r="E27" s="440">
        <f t="shared" si="2"/>
        <v>9.1833996792090034E-4</v>
      </c>
      <c r="F27" s="441">
        <f t="shared" si="3"/>
        <v>1.5986149454173652E-3</v>
      </c>
    </row>
    <row r="28" spans="1:6" x14ac:dyDescent="0.25">
      <c r="A28" s="419" t="s">
        <v>152</v>
      </c>
      <c r="B28" s="66">
        <f>+'GVA-productivity2'!L81</f>
        <v>7.8709169592514616E-3</v>
      </c>
      <c r="C28" s="66">
        <f>(+'GVA-productivity2'!L54)/100</f>
        <v>0.41910471622701839</v>
      </c>
      <c r="D28" s="66">
        <f>(+'GVA-productivity2'!M54)/100</f>
        <v>0.44623890586352394</v>
      </c>
      <c r="E28" s="440">
        <f t="shared" si="2"/>
        <v>2.7134189636505546E-2</v>
      </c>
      <c r="F28" s="441">
        <f t="shared" si="3"/>
        <v>3.2987384186535101E-3</v>
      </c>
    </row>
    <row r="29" spans="1:6" s="444" customFormat="1" x14ac:dyDescent="0.25">
      <c r="A29" s="442" t="s">
        <v>178</v>
      </c>
      <c r="B29" s="123">
        <f>+'GVA-productivity2'!L83</f>
        <v>1.8359479155546143E-2</v>
      </c>
      <c r="C29" s="123">
        <f>(+'GVA-productivity2'!L56)/100</f>
        <v>1</v>
      </c>
      <c r="D29" s="123">
        <f>(+'GVA-productivity2'!M56)/100</f>
        <v>1</v>
      </c>
      <c r="E29" s="446">
        <f t="shared" si="2"/>
        <v>0</v>
      </c>
      <c r="F29" s="70">
        <f>SUM(F22:F28)</f>
        <v>2.6466958200844076E-2</v>
      </c>
    </row>
    <row r="30" spans="1:6" x14ac:dyDescent="0.25">
      <c r="A30" s="107"/>
      <c r="B30" s="108"/>
      <c r="C30" s="108"/>
      <c r="D30" s="108"/>
      <c r="E30" s="96"/>
      <c r="F30" s="96"/>
    </row>
    <row r="31" spans="1:6" ht="14.4" x14ac:dyDescent="0.25">
      <c r="A31" s="445" t="s">
        <v>13</v>
      </c>
      <c r="B31" s="135" t="s">
        <v>13</v>
      </c>
      <c r="C31" s="135">
        <v>2005</v>
      </c>
      <c r="D31" s="135">
        <v>2010</v>
      </c>
      <c r="E31" s="135" t="s">
        <v>59</v>
      </c>
      <c r="F31" s="99" t="s">
        <v>103</v>
      </c>
    </row>
    <row r="32" spans="1:6" x14ac:dyDescent="0.25">
      <c r="A32" s="419" t="s">
        <v>14</v>
      </c>
      <c r="B32" s="66">
        <f>+'GVA-productivity2'!M75</f>
        <v>0.11850549072569816</v>
      </c>
      <c r="C32" s="66">
        <f>(+'GVA-productivity2'!M48)/100</f>
        <v>6.372762985595809E-2</v>
      </c>
      <c r="D32" s="66">
        <f>(+'GVA-productivity2'!N48)/100</f>
        <v>4.0698090265360129E-2</v>
      </c>
      <c r="E32" s="440">
        <f>+D32-C32</f>
        <v>-2.3029539590597961E-2</v>
      </c>
      <c r="F32" s="441">
        <f>+B32*C32</f>
        <v>7.5520740488659666E-3</v>
      </c>
    </row>
    <row r="33" spans="1:6" x14ac:dyDescent="0.25">
      <c r="A33" s="419" t="s">
        <v>175</v>
      </c>
      <c r="B33" s="66">
        <f>+'GVA-productivity2'!M76</f>
        <v>4.0567863583979014E-2</v>
      </c>
      <c r="C33" s="66">
        <f>(+'GVA-productivity2'!M49)/100</f>
        <v>3.4773752364324166E-2</v>
      </c>
      <c r="D33" s="66">
        <f>(+'GVA-productivity2'!N49)/100</f>
        <v>2.5177025963808025E-2</v>
      </c>
      <c r="E33" s="440">
        <f t="shared" ref="E33:E39" si="4">+D33-C33</f>
        <v>-9.596726400516141E-3</v>
      </c>
      <c r="F33" s="441">
        <f t="shared" ref="F33:F38" si="5">+B33*C33</f>
        <v>1.4106968422189705E-3</v>
      </c>
    </row>
    <row r="34" spans="1:6" x14ac:dyDescent="0.25">
      <c r="A34" s="419" t="s">
        <v>20</v>
      </c>
      <c r="B34" s="66">
        <f>+'GVA-productivity2'!M77</f>
        <v>2.6161928918402966E-2</v>
      </c>
      <c r="C34" s="66">
        <f>(+'GVA-productivity2'!M50)/100</f>
        <v>0.11807071147970319</v>
      </c>
      <c r="D34" s="66">
        <f>(+'GVA-productivity2'!N50)/100</f>
        <v>0.11079321936914384</v>
      </c>
      <c r="E34" s="440">
        <f t="shared" si="4"/>
        <v>-7.2774921105593499E-3</v>
      </c>
      <c r="F34" s="441">
        <f t="shared" si="5"/>
        <v>3.08895756107726E-3</v>
      </c>
    </row>
    <row r="35" spans="1:6" x14ac:dyDescent="0.25">
      <c r="A35" s="419" t="s">
        <v>22</v>
      </c>
      <c r="B35" s="66">
        <f>+'GVA-productivity2'!M78</f>
        <v>7.5683302253521489E-2</v>
      </c>
      <c r="C35" s="66">
        <f>(+'GVA-productivity2'!M51)/100</f>
        <v>6.4600611086861631E-2</v>
      </c>
      <c r="D35" s="66">
        <f>(+'GVA-productivity2'!N51)/100</f>
        <v>6.7591731635791436E-2</v>
      </c>
      <c r="E35" s="440">
        <f t="shared" si="4"/>
        <v>2.9911205489298043E-3</v>
      </c>
      <c r="F35" s="441">
        <f t="shared" si="5"/>
        <v>4.8891875746491405E-3</v>
      </c>
    </row>
    <row r="36" spans="1:6" x14ac:dyDescent="0.25">
      <c r="A36" s="419" t="s">
        <v>150</v>
      </c>
      <c r="B36" s="66">
        <f>+'GVA-productivity2'!M79</f>
        <v>4.8681105426335414E-2</v>
      </c>
      <c r="C36" s="66">
        <f>(+'GVA-productivity2'!M52)/100</f>
        <v>0.23010330277899022</v>
      </c>
      <c r="D36" s="66">
        <f>(+'GVA-productivity2'!N52)/100</f>
        <v>0.20971318217581003</v>
      </c>
      <c r="E36" s="440">
        <f t="shared" si="4"/>
        <v>-2.0390120603180184E-2</v>
      </c>
      <c r="F36" s="441">
        <f t="shared" si="5"/>
        <v>1.1201683141532002E-2</v>
      </c>
    </row>
    <row r="37" spans="1:6" x14ac:dyDescent="0.25">
      <c r="A37" s="423" t="s">
        <v>151</v>
      </c>
      <c r="B37" s="66">
        <f>+'GVA-productivity2'!M80</f>
        <v>9.3819869076883222E-4</v>
      </c>
      <c r="C37" s="66">
        <f>(+'GVA-productivity2'!M53)/100</f>
        <v>4.2485086570638729E-2</v>
      </c>
      <c r="D37" s="66">
        <f>(+'GVA-productivity2'!N53)/100</f>
        <v>4.9352692940419142E-2</v>
      </c>
      <c r="E37" s="440">
        <f t="shared" si="4"/>
        <v>6.8676063697804129E-3</v>
      </c>
      <c r="F37" s="441">
        <f t="shared" si="5"/>
        <v>3.9859452597773752E-5</v>
      </c>
    </row>
    <row r="38" spans="1:6" x14ac:dyDescent="0.25">
      <c r="A38" s="419" t="s">
        <v>152</v>
      </c>
      <c r="B38" s="66">
        <f>+'GVA-productivity2'!M81</f>
        <v>1.6374194423502297E-2</v>
      </c>
      <c r="C38" s="66">
        <f>(+'GVA-productivity2'!M54)/100</f>
        <v>0.44623890586352394</v>
      </c>
      <c r="D38" s="66">
        <f>(+'GVA-productivity2'!N54)/100</f>
        <v>0.49667405764966743</v>
      </c>
      <c r="E38" s="440">
        <f t="shared" si="4"/>
        <v>5.0435151786143495E-2</v>
      </c>
      <c r="F38" s="441">
        <f t="shared" si="5"/>
        <v>7.30680260394028E-3</v>
      </c>
    </row>
    <row r="39" spans="1:6" s="444" customFormat="1" x14ac:dyDescent="0.25">
      <c r="A39" s="442" t="s">
        <v>178</v>
      </c>
      <c r="B39" s="123">
        <f>+'GVA-productivity2'!M83</f>
        <v>2.7741842381551196E-2</v>
      </c>
      <c r="C39" s="123">
        <f>(+'GVA-productivity2'!M56)/100</f>
        <v>1</v>
      </c>
      <c r="D39" s="123">
        <f>(+'GVA-productivity2'!N56)/100</f>
        <v>1.0000000000000002</v>
      </c>
      <c r="E39" s="443">
        <f t="shared" si="4"/>
        <v>0</v>
      </c>
      <c r="F39" s="434">
        <f>SUM(F32:F38)</f>
        <v>3.5489261224881392E-2</v>
      </c>
    </row>
    <row r="40" spans="1:6" x14ac:dyDescent="0.25">
      <c r="A40" s="107"/>
      <c r="B40" s="108"/>
      <c r="C40" s="108"/>
      <c r="D40" s="108"/>
      <c r="E40" s="109"/>
      <c r="F40" s="110"/>
    </row>
    <row r="41" spans="1:6" ht="14.4" x14ac:dyDescent="0.25">
      <c r="A41" s="445" t="s">
        <v>168</v>
      </c>
      <c r="B41" s="135" t="s">
        <v>168</v>
      </c>
      <c r="C41" s="135">
        <v>2010</v>
      </c>
      <c r="D41" s="135">
        <v>2013</v>
      </c>
      <c r="E41" s="135" t="s">
        <v>179</v>
      </c>
      <c r="F41" s="99" t="s">
        <v>103</v>
      </c>
    </row>
    <row r="42" spans="1:6" x14ac:dyDescent="0.25">
      <c r="A42" s="419" t="s">
        <v>14</v>
      </c>
      <c r="B42" s="66">
        <f>+'GVA-productivity2'!N75</f>
        <v>-1.391066207659164E-2</v>
      </c>
      <c r="C42" s="66">
        <f>(+'GVA-productivity2'!N48)/100</f>
        <v>4.0698090265360129E-2</v>
      </c>
      <c r="D42" s="66">
        <f>(+'GVA-productivity2'!O48)/100</f>
        <v>4.1925571867531583E-2</v>
      </c>
      <c r="E42" s="440">
        <f>+D42-C42</f>
        <v>1.2274816021714541E-3</v>
      </c>
      <c r="F42" s="441">
        <f>+B42*C42</f>
        <v>-5.6613738084404855E-4</v>
      </c>
    </row>
    <row r="43" spans="1:6" x14ac:dyDescent="0.25">
      <c r="A43" s="419" t="s">
        <v>175</v>
      </c>
      <c r="B43" s="66">
        <f>+'GVA-productivity2'!N76</f>
        <v>-7.6631419967415959E-2</v>
      </c>
      <c r="C43" s="66">
        <f>(+'GVA-productivity2'!N49)/100</f>
        <v>2.5177025963808025E-2</v>
      </c>
      <c r="D43" s="66">
        <f>(+'GVA-productivity2'!O49)/100</f>
        <v>2.9771252987367703E-2</v>
      </c>
      <c r="E43" s="440">
        <f t="shared" ref="E43:E49" si="6">+D43-C43</f>
        <v>4.5942270235596779E-3</v>
      </c>
      <c r="F43" s="441">
        <f t="shared" ref="F43:F48" si="7">+B43*C43</f>
        <v>-1.9293512501631083E-3</v>
      </c>
    </row>
    <row r="44" spans="1:6" x14ac:dyDescent="0.25">
      <c r="A44" s="419" t="s">
        <v>20</v>
      </c>
      <c r="B44" s="66">
        <f>+'GVA-productivity2'!N77</f>
        <v>3.4047895011337648E-2</v>
      </c>
      <c r="C44" s="66">
        <f>(+'GVA-productivity2'!N50)/100</f>
        <v>0.11079321936914384</v>
      </c>
      <c r="D44" s="66">
        <f>(+'GVA-productivity2'!O50)/100</f>
        <v>0.10105838170023899</v>
      </c>
      <c r="E44" s="440">
        <f t="shared" si="6"/>
        <v>-9.7348376689048444E-3</v>
      </c>
      <c r="F44" s="441">
        <f t="shared" si="7"/>
        <v>3.7722759010487103E-3</v>
      </c>
    </row>
    <row r="45" spans="1:6" x14ac:dyDescent="0.25">
      <c r="A45" s="419" t="s">
        <v>22</v>
      </c>
      <c r="B45" s="66">
        <f>+'GVA-productivity2'!N78</f>
        <v>1.9739044521343674E-2</v>
      </c>
      <c r="C45" s="66">
        <f>(+'GVA-productivity2'!N51)/100</f>
        <v>6.7591731635791436E-2</v>
      </c>
      <c r="D45" s="66">
        <f>(+'GVA-productivity2'!O51)/100</f>
        <v>6.404916353704336E-2</v>
      </c>
      <c r="E45" s="440">
        <f t="shared" si="6"/>
        <v>-3.5425680987480751E-3</v>
      </c>
      <c r="F45" s="441">
        <f t="shared" si="7"/>
        <v>1.3341962000336007E-3</v>
      </c>
    </row>
    <row r="46" spans="1:6" x14ac:dyDescent="0.25">
      <c r="A46" s="419" t="s">
        <v>150</v>
      </c>
      <c r="B46" s="66">
        <f>+'GVA-productivity2'!N79</f>
        <v>3.4778049036050307E-2</v>
      </c>
      <c r="C46" s="66">
        <f>(+'GVA-productivity2'!N52)/100</f>
        <v>0.20971318217581003</v>
      </c>
      <c r="D46" s="66">
        <f>(+'GVA-productivity2'!O52)/100</f>
        <v>0.19795151928986002</v>
      </c>
      <c r="E46" s="440">
        <f t="shared" si="6"/>
        <v>-1.1761662885950014E-2</v>
      </c>
      <c r="F46" s="441">
        <f t="shared" si="7"/>
        <v>7.2934153332164728E-3</v>
      </c>
    </row>
    <row r="47" spans="1:6" x14ac:dyDescent="0.25">
      <c r="A47" s="423" t="s">
        <v>151</v>
      </c>
      <c r="B47" s="66">
        <f>+'GVA-productivity2'!N80</f>
        <v>8.1086770161742372E-4</v>
      </c>
      <c r="C47" s="66">
        <f>(+'GVA-productivity2'!N53)/100</f>
        <v>4.9352692940419142E-2</v>
      </c>
      <c r="D47" s="66">
        <f>(+'GVA-productivity2'!O53)/100</f>
        <v>5.0597473540457495E-2</v>
      </c>
      <c r="E47" s="440">
        <f t="shared" si="6"/>
        <v>1.2447806000383532E-3</v>
      </c>
      <c r="F47" s="441">
        <f t="shared" si="7"/>
        <v>4.0018504693228123E-5</v>
      </c>
    </row>
    <row r="48" spans="1:6" x14ac:dyDescent="0.25">
      <c r="A48" s="419" t="s">
        <v>152</v>
      </c>
      <c r="B48" s="66">
        <f>+'GVA-productivity2'!N81</f>
        <v>5.3403293045535261E-3</v>
      </c>
      <c r="C48" s="66">
        <f>(+'GVA-productivity2'!N54)/100</f>
        <v>0.49667405764966743</v>
      </c>
      <c r="D48" s="66">
        <f>(+'GVA-productivity2'!O54)/100</f>
        <v>0.5146466370775008</v>
      </c>
      <c r="E48" s="440">
        <f t="shared" si="6"/>
        <v>1.7972579427833368E-2</v>
      </c>
      <c r="F48" s="441">
        <f t="shared" si="7"/>
        <v>2.6524030248780265E-3</v>
      </c>
    </row>
    <row r="49" spans="1:6" s="444" customFormat="1" x14ac:dyDescent="0.25">
      <c r="A49" s="442" t="s">
        <v>178</v>
      </c>
      <c r="B49" s="123">
        <f>+'GVA-productivity2'!N83</f>
        <v>9.7042349492593161E-3</v>
      </c>
      <c r="C49" s="123">
        <f>(+'GVA-productivity2'!N56)/100</f>
        <v>1.0000000000000002</v>
      </c>
      <c r="D49" s="123">
        <f>(+'GVA-productivity2'!O56)/100</f>
        <v>1</v>
      </c>
      <c r="E49" s="443">
        <f t="shared" si="6"/>
        <v>0</v>
      </c>
      <c r="F49" s="434">
        <f>SUM(F42:F48)</f>
        <v>1.259682033286288E-2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FAA1D0-03CD-4B51-AFEC-0C0E94773B3A}"/>
</file>

<file path=customXml/itemProps2.xml><?xml version="1.0" encoding="utf-8"?>
<ds:datastoreItem xmlns:ds="http://schemas.openxmlformats.org/officeDocument/2006/customXml" ds:itemID="{DE76E148-B04B-4432-84E0-E8598115353C}"/>
</file>

<file path=customXml/itemProps3.xml><?xml version="1.0" encoding="utf-8"?>
<ds:datastoreItem xmlns:ds="http://schemas.openxmlformats.org/officeDocument/2006/customXml" ds:itemID="{A1963299-BCBB-4E0E-A34C-92EAD0C0DD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VERSION</vt:lpstr>
      <vt:lpstr>GVA-productivity1</vt:lpstr>
      <vt:lpstr>Rel. prod. cf employment1</vt:lpstr>
      <vt:lpstr>Decomp.of prod change1</vt:lpstr>
      <vt:lpstr>Productivity gaps1</vt:lpstr>
      <vt:lpstr>Sector emp1</vt:lpstr>
      <vt:lpstr>GVA-productivity2</vt:lpstr>
      <vt:lpstr>Rel. prod. cf employment2</vt:lpstr>
      <vt:lpstr>Decomp. of prod change2</vt:lpstr>
      <vt:lpstr>Productivity gaps2</vt:lpstr>
      <vt:lpstr>Sectoral employ by sex</vt:lpstr>
      <vt:lpstr>Emp by sex (ILO)</vt:lpstr>
      <vt:lpstr>'GVA-productivity1'!Labour_productivity</vt:lpstr>
      <vt:lpstr>'GVA-productivity1'!Persons_engaged</vt:lpstr>
      <vt:lpstr>'GVA-productivity1'!VA_constant_2005</vt:lpstr>
      <vt:lpstr>'GVA-productivity1'!VA_current</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cp:lastPrinted>2014-12-17T12:30:23Z</cp:lastPrinted>
  <dcterms:created xsi:type="dcterms:W3CDTF">2014-12-17T09:29:00Z</dcterms:created>
  <dcterms:modified xsi:type="dcterms:W3CDTF">2015-07-21T11:55:16Z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